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hidePivotFieldList="1"/>
  <mc:AlternateContent xmlns:mc="http://schemas.openxmlformats.org/markup-compatibility/2006">
    <mc:Choice Requires="x15">
      <x15ac:absPath xmlns:x15ac="http://schemas.microsoft.com/office/spreadsheetml/2010/11/ac" url="/Users/larslensink/Library/CloudStorage/GoogleDrive-ljlensink@gmail.com/.shortcut-targets-by-id/1fHgx0nQzN2UD1SZDrNs1FiKkxiLJ8dDk/Lab Vlieland/Projecten/GDCF/Monitoring opdracht LV/2025-26/Excel tool/"/>
    </mc:Choice>
  </mc:AlternateContent>
  <xr:revisionPtr revIDLastSave="0" documentId="13_ncr:1_{3E9956B5-4947-5741-9AFB-F1FE7231CCFD}" xr6:coauthVersionLast="47" xr6:coauthVersionMax="47" xr10:uidLastSave="{00000000-0000-0000-0000-000000000000}"/>
  <bookViews>
    <workbookView xWindow="0" yWindow="740" windowWidth="34560" windowHeight="21600" tabRatio="806" xr2:uid="{C8CE72AE-A9BB-42CA-8B49-3DB92C9E40C8}"/>
  </bookViews>
  <sheets>
    <sheet name="Title page" sheetId="32" r:id="rId1"/>
    <sheet name="Manual" sheetId="19" r:id="rId2"/>
    <sheet name="Input sheet" sheetId="1" r:id="rId3"/>
    <sheet name="Results" sheetId="35" r:id="rId4"/>
    <sheet name="Results - deep dive" sheetId="30" r:id="rId5"/>
    <sheet name="Emission factors - list" sheetId="23" r:id="rId6"/>
    <sheet name="|" sheetId="33" r:id="rId7"/>
    <sheet name="Input sheet format" sheetId="27" state="hidden" r:id="rId8"/>
    <sheet name="Input import" sheetId="26" state="hidden" r:id="rId9"/>
    <sheet name="CO2-Calculation" sheetId="25" r:id="rId10"/>
    <sheet name="Facilitatory data" sheetId="28" r:id="rId11"/>
    <sheet name="EF-background info" sheetId="24" r:id="rId12"/>
    <sheet name="Pivots" sheetId="31" state="hidden" r:id="rId13"/>
    <sheet name="sort" sheetId="37" state="hidden" r:id="rId14"/>
    <sheet name="Sheet3" sheetId="29" state="hidden" r:id="rId15"/>
    <sheet name="Lists" sheetId="11" state="veryHidden" r:id="rId16"/>
  </sheets>
  <definedNames>
    <definedName name="_xlnm._FilterDatabase" localSheetId="10" hidden="1">'Facilitatory data'!$D$3:$G$86</definedName>
    <definedName name="_xlnm._FilterDatabase" localSheetId="2" hidden="1">'Input sheet'!$B$2:$H$380</definedName>
    <definedName name="_xlnm._FilterDatabase" localSheetId="1" hidden="1">Manual!$B$3:$I$367</definedName>
    <definedName name="CalcTable">Table1[]</definedName>
    <definedName name="data_bas" localSheetId="9">#REF!</definedName>
    <definedName name="data_bas" localSheetId="11">#REF!</definedName>
    <definedName name="data_bas" localSheetId="5">#REF!</definedName>
    <definedName name="data_bas" localSheetId="10">#REF!</definedName>
    <definedName name="data_bas" localSheetId="7">#REF!</definedName>
    <definedName name="data_bas">Lists!$F$3:$F$8</definedName>
    <definedName name="FDpack">Lists!$V$3:$V$8</definedName>
    <definedName name="indout">Lists!$P$3:$P$5</definedName>
    <definedName name="inp_TL_fest">#REF!</definedName>
    <definedName name="LM_modes" localSheetId="9">#REF!</definedName>
    <definedName name="LM_modes" localSheetId="11">#REF!</definedName>
    <definedName name="LM_modes" localSheetId="5">#REF!</definedName>
    <definedName name="LM_modes" localSheetId="10">#REF!</definedName>
    <definedName name="LM_modes" localSheetId="7">#REF!</definedName>
    <definedName name="LM_modes">#REF!</definedName>
    <definedName name="loctyp">Lists!$R$3:$R$4</definedName>
    <definedName name="modes" localSheetId="9">#REF!</definedName>
    <definedName name="modes" localSheetId="11">#REF!</definedName>
    <definedName name="modes" localSheetId="5">#REF!</definedName>
    <definedName name="modes" localSheetId="10">#REF!</definedName>
    <definedName name="modes" localSheetId="7">#REF!</definedName>
    <definedName name="modes">#REF!</definedName>
    <definedName name="opcl">Lists!$T$3:$T$5</definedName>
    <definedName name="packopt">#REF!</definedName>
    <definedName name="Res_test">#REF!</definedName>
    <definedName name="Scope_cat_2">#REF!</definedName>
    <definedName name="selloc">#REF!</definedName>
    <definedName name="selproc">Lists!$D$12:$D$16</definedName>
    <definedName name="sentopt">#REF!</definedName>
    <definedName name="Slicer_Category">#N/A</definedName>
    <definedName name="Slicer_Sub_category">#N/A</definedName>
    <definedName name="susprod">Lists!$D$22:$D$25</definedName>
    <definedName name="test1">#REF!</definedName>
    <definedName name="trans_fuelt" localSheetId="9">#REF!</definedName>
    <definedName name="trans_fuelt" localSheetId="11">#REF!</definedName>
    <definedName name="trans_fuelt" localSheetId="5">#REF!</definedName>
    <definedName name="trans_fuelt" localSheetId="10">#REF!</definedName>
    <definedName name="trans_fuelt" localSheetId="7">#REF!</definedName>
    <definedName name="trans_fuelt">#REF!</definedName>
    <definedName name="transp_means">#REF!</definedName>
    <definedName name="txtloc">#REF!</definedName>
    <definedName name="type_transp" localSheetId="9">#REF!</definedName>
    <definedName name="type_transp" localSheetId="11">#REF!</definedName>
    <definedName name="type_transp" localSheetId="5">#REF!</definedName>
    <definedName name="type_transp" localSheetId="10">#REF!</definedName>
    <definedName name="type_transp" localSheetId="7">#REF!</definedName>
    <definedName name="type_transp">#REF!</definedName>
    <definedName name="ventyp" localSheetId="9">#REF!</definedName>
    <definedName name="ventyp" localSheetId="11">#REF!</definedName>
    <definedName name="ventyp" localSheetId="5">#REF!</definedName>
    <definedName name="ventyp" localSheetId="10">#REF!</definedName>
    <definedName name="ventyp" localSheetId="7">#REF!</definedName>
    <definedName name="ventyp">Lists!$X$3:$X$7</definedName>
    <definedName name="weath" localSheetId="9">#REF!</definedName>
    <definedName name="weath" localSheetId="11">#REF!</definedName>
    <definedName name="weath" localSheetId="5">#REF!</definedName>
    <definedName name="weath" localSheetId="10">#REF!</definedName>
    <definedName name="weath" localSheetId="7">#REF!</definedName>
    <definedName name="weath">Lists!$H$3:$H$5</definedName>
    <definedName name="XX">#REF!</definedName>
    <definedName name="yesno">Lists!$D$3:$D$4</definedName>
  </definedNames>
  <calcPr calcId="191028"/>
  <pivotCaches>
    <pivotCache cacheId="0" r:id="rId17"/>
  </pivotCaches>
  <extLst>
    <ext xmlns:x14="http://schemas.microsoft.com/office/spreadsheetml/2009/9/main" uri="{BBE1A952-AA13-448e-AADC-164F8A28A991}">
      <x14:slicerCaches>
        <x14:slicerCache r:id="rId18"/>
        <x14:slicerCache r:id="rId1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62" i="25" l="1"/>
  <c r="S162" i="25" s="1"/>
  <c r="R161" i="25"/>
  <c r="S161" i="25" s="1"/>
  <c r="R160" i="25"/>
  <c r="S160" i="25" s="1"/>
  <c r="R159" i="25"/>
  <c r="R158" i="25"/>
  <c r="R157" i="25"/>
  <c r="R156" i="25"/>
  <c r="S156" i="25" s="1"/>
  <c r="R155" i="25"/>
  <c r="S155" i="25" s="1"/>
  <c r="R154" i="25"/>
  <c r="S154" i="25" s="1"/>
  <c r="R153" i="25"/>
  <c r="R152" i="25"/>
  <c r="R151" i="25"/>
  <c r="R150" i="25"/>
  <c r="R149" i="25"/>
  <c r="R148" i="25"/>
  <c r="B9" i="31"/>
  <c r="B73" i="31"/>
  <c r="B96" i="31"/>
  <c r="B8" i="31"/>
  <c r="J54" i="25" l="1"/>
  <c r="J53" i="25"/>
  <c r="J52" i="25"/>
  <c r="J51" i="25"/>
  <c r="J49" i="25"/>
  <c r="J48" i="25"/>
  <c r="J47" i="25"/>
  <c r="J46" i="25"/>
  <c r="J45" i="25"/>
  <c r="J44" i="25"/>
  <c r="J50" i="25"/>
  <c r="D47" i="26"/>
  <c r="F23" i="25" s="1"/>
  <c r="AL36" i="35" l="1"/>
  <c r="AL25" i="35"/>
  <c r="AL24" i="35"/>
  <c r="AL29" i="35"/>
  <c r="AL28" i="35"/>
  <c r="AL33" i="35"/>
  <c r="AL32" i="35"/>
  <c r="AL20" i="35"/>
  <c r="AL21" i="35"/>
  <c r="AL16" i="35"/>
  <c r="AL17" i="35"/>
  <c r="AL12" i="35"/>
  <c r="AL13" i="35"/>
  <c r="S112" i="25"/>
  <c r="A266" i="26"/>
  <c r="E266" i="26"/>
  <c r="G178" i="25" s="1"/>
  <c r="D266" i="26"/>
  <c r="F178" i="25" s="1"/>
  <c r="D265" i="26"/>
  <c r="F177" i="25" s="1"/>
  <c r="S178" i="25"/>
  <c r="B33" i="30"/>
  <c r="B30" i="30"/>
  <c r="B24" i="30"/>
  <c r="B21" i="30"/>
  <c r="B18" i="30"/>
  <c r="B15" i="30"/>
  <c r="B12" i="30"/>
  <c r="B9" i="30"/>
  <c r="B6" i="30"/>
  <c r="S1" i="30"/>
  <c r="L45" i="25"/>
  <c r="L46" i="25"/>
  <c r="L47" i="25"/>
  <c r="L48" i="25"/>
  <c r="L51" i="25"/>
  <c r="L44" i="25"/>
  <c r="M18" i="25"/>
  <c r="M19" i="25"/>
  <c r="M20" i="25"/>
  <c r="M21" i="25"/>
  <c r="M22" i="25"/>
  <c r="M24" i="25"/>
  <c r="M25" i="25"/>
  <c r="M26" i="25"/>
  <c r="M28" i="25"/>
  <c r="M29" i="25"/>
  <c r="M30" i="25"/>
  <c r="M32" i="25"/>
  <c r="M34" i="25"/>
  <c r="M17" i="25"/>
  <c r="L18" i="25"/>
  <c r="L19" i="25"/>
  <c r="L20" i="25"/>
  <c r="L23" i="25"/>
  <c r="L24" i="25"/>
  <c r="L33" i="25"/>
  <c r="L34" i="25"/>
  <c r="L17" i="25"/>
  <c r="J35" i="25"/>
  <c r="S1" i="35"/>
  <c r="B33" i="35"/>
  <c r="B30" i="35"/>
  <c r="B24" i="35"/>
  <c r="B21" i="35"/>
  <c r="B18" i="35"/>
  <c r="B15" i="35"/>
  <c r="B12" i="35"/>
  <c r="B9" i="35"/>
  <c r="B6" i="35"/>
  <c r="F60" i="23"/>
  <c r="G60" i="23"/>
  <c r="E60" i="23"/>
  <c r="D60" i="23"/>
  <c r="D134" i="24"/>
  <c r="D58" i="23" s="1"/>
  <c r="D57" i="23"/>
  <c r="B126" i="31"/>
  <c r="B154" i="31"/>
  <c r="X178" i="25" l="1"/>
  <c r="V178" i="25" s="1"/>
  <c r="W178" i="25"/>
  <c r="S113" i="25"/>
  <c r="S114" i="25"/>
  <c r="G46" i="25"/>
  <c r="G48" i="25"/>
  <c r="G53"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35" i="25"/>
  <c r="G36" i="25"/>
  <c r="G37" i="25"/>
  <c r="D191" i="26"/>
  <c r="F112" i="25" s="1"/>
  <c r="R125" i="25"/>
  <c r="S125" i="25" s="1"/>
  <c r="R126" i="25"/>
  <c r="S126" i="25" s="1"/>
  <c r="Q10" i="25"/>
  <c r="S46" i="25"/>
  <c r="S48" i="25"/>
  <c r="S53"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134" i="25"/>
  <c r="S135" i="25"/>
  <c r="S149" i="25"/>
  <c r="S150" i="25"/>
  <c r="S152" i="25"/>
  <c r="S153" i="25"/>
  <c r="S158" i="25"/>
  <c r="S159" i="25"/>
  <c r="S167" i="25"/>
  <c r="S168" i="25"/>
  <c r="S169" i="25"/>
  <c r="S170" i="25"/>
  <c r="S171" i="25"/>
  <c r="S172" i="25"/>
  <c r="S173" i="25"/>
  <c r="S177" i="25"/>
  <c r="D183" i="26"/>
  <c r="F106" i="25" s="1"/>
  <c r="E183" i="26"/>
  <c r="G106" i="25" s="1"/>
  <c r="D184" i="26"/>
  <c r="E184" i="26"/>
  <c r="G107" i="25" s="1"/>
  <c r="D185" i="26"/>
  <c r="F108" i="25" s="1"/>
  <c r="E185" i="26"/>
  <c r="G108" i="25" s="1"/>
  <c r="D186" i="26"/>
  <c r="F109" i="25" s="1"/>
  <c r="E186" i="26"/>
  <c r="G109" i="25" s="1"/>
  <c r="D187" i="26"/>
  <c r="F110" i="25" s="1"/>
  <c r="E187" i="26"/>
  <c r="G110" i="25" s="1"/>
  <c r="D188" i="26"/>
  <c r="F111" i="25" s="1"/>
  <c r="E188" i="26"/>
  <c r="G111" i="25" s="1"/>
  <c r="D189" i="26"/>
  <c r="E189" i="26"/>
  <c r="D190" i="26"/>
  <c r="E190" i="26"/>
  <c r="E182" i="26"/>
  <c r="G105" i="25" s="1"/>
  <c r="D182" i="26"/>
  <c r="F105" i="25" s="1"/>
  <c r="D174" i="26"/>
  <c r="F99" i="25" s="1"/>
  <c r="D175" i="26"/>
  <c r="F100" i="25" s="1"/>
  <c r="D176" i="26"/>
  <c r="F101" i="25" s="1"/>
  <c r="D177" i="26"/>
  <c r="F102" i="25" s="1"/>
  <c r="D178" i="26"/>
  <c r="F103" i="25" s="1"/>
  <c r="D179" i="26"/>
  <c r="F104" i="25" s="1"/>
  <c r="D180" i="26"/>
  <c r="D181" i="26"/>
  <c r="D173" i="26"/>
  <c r="F98" i="25" s="1"/>
  <c r="E174" i="26"/>
  <c r="G99" i="25" s="1"/>
  <c r="E175" i="26"/>
  <c r="G100" i="25" s="1"/>
  <c r="E176" i="26"/>
  <c r="G101" i="25" s="1"/>
  <c r="E177" i="26"/>
  <c r="G102" i="25" s="1"/>
  <c r="E178" i="26"/>
  <c r="G103" i="25" s="1"/>
  <c r="E179" i="26"/>
  <c r="G104" i="25" s="1"/>
  <c r="E180" i="26"/>
  <c r="E181" i="26"/>
  <c r="E173" i="26"/>
  <c r="G98" i="25" s="1"/>
  <c r="R175" i="25"/>
  <c r="S175" i="25" s="1"/>
  <c r="R176" i="25"/>
  <c r="S176" i="25" s="1"/>
  <c r="H180" i="24"/>
  <c r="F180" i="24"/>
  <c r="H183" i="24"/>
  <c r="H182" i="24"/>
  <c r="H181" i="24"/>
  <c r="F181" i="24"/>
  <c r="E121" i="23"/>
  <c r="R174" i="25"/>
  <c r="S174" i="25" s="1"/>
  <c r="E260" i="26"/>
  <c r="J177" i="25"/>
  <c r="J41" i="25"/>
  <c r="J40" i="25"/>
  <c r="H41" i="25"/>
  <c r="H40" i="25"/>
  <c r="J39" i="25"/>
  <c r="J38" i="25"/>
  <c r="R40" i="25"/>
  <c r="S40" i="25" s="1"/>
  <c r="R41" i="25"/>
  <c r="S41" i="25" s="1"/>
  <c r="Q41" i="25"/>
  <c r="Q40" i="25"/>
  <c r="R39" i="25"/>
  <c r="S39" i="25" s="1"/>
  <c r="Q39" i="25"/>
  <c r="R38" i="25"/>
  <c r="S38" i="25" s="1"/>
  <c r="Q38" i="25"/>
  <c r="R35" i="25"/>
  <c r="S35" i="25" s="1"/>
  <c r="R36" i="25"/>
  <c r="S36" i="25" s="1"/>
  <c r="R37" i="25"/>
  <c r="S37" i="25" s="1"/>
  <c r="Q36" i="25"/>
  <c r="Q37" i="25"/>
  <c r="Q35" i="25"/>
  <c r="J129" i="25"/>
  <c r="J130" i="25"/>
  <c r="J131" i="25"/>
  <c r="J132" i="25"/>
  <c r="J128" i="25"/>
  <c r="Q121" i="25"/>
  <c r="R32" i="25"/>
  <c r="S32" i="25" s="1"/>
  <c r="D41" i="26"/>
  <c r="R12" i="25"/>
  <c r="S12" i="25" s="1"/>
  <c r="R13" i="25"/>
  <c r="S13" i="25" s="1"/>
  <c r="Q13" i="25"/>
  <c r="Q12" i="25"/>
  <c r="D56" i="27"/>
  <c r="F56" i="27" s="1" a="1"/>
  <c r="F56" i="27" s="1"/>
  <c r="D57" i="27"/>
  <c r="F57" i="27" s="1" a="1"/>
  <c r="F57" i="27" s="1"/>
  <c r="D99" i="26"/>
  <c r="D33" i="26"/>
  <c r="E158" i="26"/>
  <c r="D158" i="26"/>
  <c r="E155" i="26"/>
  <c r="D155" i="26"/>
  <c r="E130" i="26"/>
  <c r="D130" i="26"/>
  <c r="E127" i="26"/>
  <c r="D127" i="26"/>
  <c r="E102" i="26"/>
  <c r="E99" i="26"/>
  <c r="D102" i="26"/>
  <c r="A2" i="26"/>
  <c r="R42" i="25"/>
  <c r="S42" i="25" s="1"/>
  <c r="R43" i="25"/>
  <c r="S43" i="25" s="1"/>
  <c r="Q43" i="25"/>
  <c r="Q42" i="25"/>
  <c r="R166" i="25"/>
  <c r="S166" i="25" s="1"/>
  <c r="R165" i="25"/>
  <c r="S165" i="25" s="1"/>
  <c r="R164" i="25"/>
  <c r="S164" i="25" s="1"/>
  <c r="R163" i="25"/>
  <c r="S163" i="25" s="1"/>
  <c r="S157" i="25"/>
  <c r="S151" i="25"/>
  <c r="S148" i="25"/>
  <c r="R147" i="25"/>
  <c r="S147" i="25" s="1"/>
  <c r="R146" i="25"/>
  <c r="S146" i="25" s="1"/>
  <c r="R145" i="25"/>
  <c r="S145" i="25" s="1"/>
  <c r="R144" i="25"/>
  <c r="S144" i="25" s="1"/>
  <c r="R143" i="25"/>
  <c r="S143" i="25" s="1"/>
  <c r="R142" i="25"/>
  <c r="S142" i="25" s="1"/>
  <c r="R141" i="25"/>
  <c r="S141" i="25" s="1"/>
  <c r="R140" i="25"/>
  <c r="S140" i="25" s="1"/>
  <c r="R139" i="25"/>
  <c r="S139" i="25" s="1"/>
  <c r="R138" i="25"/>
  <c r="S138" i="25" s="1"/>
  <c r="R137" i="25"/>
  <c r="S137" i="25" s="1"/>
  <c r="R136" i="25"/>
  <c r="S136" i="25" s="1"/>
  <c r="R133" i="25"/>
  <c r="S133" i="25" s="1"/>
  <c r="R132" i="25"/>
  <c r="S132" i="25" s="1"/>
  <c r="R131" i="25"/>
  <c r="S131" i="25" s="1"/>
  <c r="R130" i="25"/>
  <c r="S130" i="25" s="1"/>
  <c r="R129" i="25"/>
  <c r="S129" i="25" s="1"/>
  <c r="R128" i="25"/>
  <c r="S128" i="25" s="1"/>
  <c r="R127" i="25"/>
  <c r="S127" i="25" s="1"/>
  <c r="R124" i="25"/>
  <c r="S124" i="25" s="1"/>
  <c r="R123" i="25"/>
  <c r="S123" i="25" s="1"/>
  <c r="R122" i="25"/>
  <c r="S122" i="25" s="1"/>
  <c r="R121" i="25"/>
  <c r="S121" i="25" s="1"/>
  <c r="R120" i="25"/>
  <c r="S120" i="25" s="1"/>
  <c r="R119" i="25"/>
  <c r="S119" i="25" s="1"/>
  <c r="R118" i="25"/>
  <c r="S118" i="25" s="1"/>
  <c r="R117" i="25"/>
  <c r="S117" i="25" s="1"/>
  <c r="R116" i="25"/>
  <c r="S116" i="25" s="1"/>
  <c r="R115" i="25"/>
  <c r="S115" i="25" s="1"/>
  <c r="R111" i="25"/>
  <c r="S111" i="25" s="1"/>
  <c r="R110" i="25"/>
  <c r="S110" i="25" s="1"/>
  <c r="R109" i="25"/>
  <c r="S109" i="25" s="1"/>
  <c r="R108" i="25"/>
  <c r="S108" i="25" s="1"/>
  <c r="R107" i="25"/>
  <c r="S107" i="25" s="1"/>
  <c r="R106" i="25"/>
  <c r="S106" i="25" s="1"/>
  <c r="R105" i="25"/>
  <c r="S105" i="25" s="1"/>
  <c r="R104" i="25"/>
  <c r="S104" i="25" s="1"/>
  <c r="R103" i="25"/>
  <c r="S103" i="25" s="1"/>
  <c r="R102" i="25"/>
  <c r="S102" i="25" s="1"/>
  <c r="R101" i="25"/>
  <c r="S101" i="25" s="1"/>
  <c r="R100" i="25"/>
  <c r="S100" i="25" s="1"/>
  <c r="R99" i="25"/>
  <c r="S99" i="25" s="1"/>
  <c r="R98" i="25"/>
  <c r="S98" i="25" s="1"/>
  <c r="R55" i="25"/>
  <c r="S55" i="25" s="1"/>
  <c r="R54" i="25"/>
  <c r="S54" i="25" s="1"/>
  <c r="R52" i="25"/>
  <c r="S52" i="25" s="1"/>
  <c r="R51" i="25"/>
  <c r="S51" i="25" s="1"/>
  <c r="R50" i="25"/>
  <c r="S50" i="25" s="1"/>
  <c r="R49" i="25"/>
  <c r="S49" i="25" s="1"/>
  <c r="R47" i="25"/>
  <c r="S47" i="25" s="1"/>
  <c r="R45" i="25"/>
  <c r="S45" i="25" s="1"/>
  <c r="R44" i="25"/>
  <c r="S44" i="25" s="1"/>
  <c r="R34" i="25"/>
  <c r="S34" i="25" s="1"/>
  <c r="R33" i="25"/>
  <c r="S33" i="25" s="1"/>
  <c r="R30" i="25"/>
  <c r="S30" i="25" s="1"/>
  <c r="R29" i="25"/>
  <c r="S29" i="25" s="1"/>
  <c r="R26" i="25"/>
  <c r="S26" i="25" s="1"/>
  <c r="R25" i="25"/>
  <c r="S25" i="25" s="1"/>
  <c r="R24" i="25"/>
  <c r="S24" i="25" s="1"/>
  <c r="R23" i="25"/>
  <c r="S23" i="25" s="1"/>
  <c r="R22" i="25"/>
  <c r="S22" i="25" s="1"/>
  <c r="R21" i="25"/>
  <c r="S21" i="25" s="1"/>
  <c r="R20" i="25"/>
  <c r="S20" i="25" s="1"/>
  <c r="R19" i="25"/>
  <c r="S19" i="25" s="1"/>
  <c r="R18" i="25"/>
  <c r="S18" i="25" s="1"/>
  <c r="R17" i="25"/>
  <c r="S17" i="25" s="1"/>
  <c r="R16" i="25"/>
  <c r="S16" i="25" s="1"/>
  <c r="R15" i="25"/>
  <c r="S15" i="25" s="1"/>
  <c r="R14" i="25"/>
  <c r="S14" i="25" s="1"/>
  <c r="R11" i="25"/>
  <c r="S11" i="25" s="1"/>
  <c r="R10" i="25"/>
  <c r="S10" i="25" s="1"/>
  <c r="R9" i="25"/>
  <c r="S9" i="25" s="1"/>
  <c r="R8" i="25"/>
  <c r="S8" i="25" s="1"/>
  <c r="R7" i="25"/>
  <c r="S7" i="25" s="1"/>
  <c r="R6" i="25"/>
  <c r="S6" i="25" s="1"/>
  <c r="R5" i="25"/>
  <c r="S5" i="25" s="1"/>
  <c r="J37" i="25"/>
  <c r="J36" i="25"/>
  <c r="H48" i="27"/>
  <c r="D100" i="27"/>
  <c r="F100" i="27" s="1" a="1"/>
  <c r="F100" i="27" s="1"/>
  <c r="D101" i="27"/>
  <c r="F101" i="27" s="1" a="1"/>
  <c r="F101" i="27" s="1"/>
  <c r="D102" i="27"/>
  <c r="F102" i="27" s="1" a="1"/>
  <c r="F102" i="27" s="1"/>
  <c r="D103" i="27"/>
  <c r="F103" i="27" s="1" a="1"/>
  <c r="F103" i="27" s="1"/>
  <c r="D104" i="27"/>
  <c r="F104" i="27" s="1" a="1"/>
  <c r="F104" i="27" s="1"/>
  <c r="D105" i="27"/>
  <c r="F105" i="27" s="1" a="1"/>
  <c r="F105" i="27" s="1"/>
  <c r="D106" i="27"/>
  <c r="F106" i="27" s="1" a="1"/>
  <c r="F106" i="27" s="1"/>
  <c r="R27" i="25"/>
  <c r="S27" i="25" s="1"/>
  <c r="R28" i="25"/>
  <c r="S28" i="25" s="1"/>
  <c r="Q27" i="25"/>
  <c r="R31" i="25"/>
  <c r="S31" i="25" s="1"/>
  <c r="J32" i="25"/>
  <c r="J31" i="25"/>
  <c r="J27" i="25"/>
  <c r="J28" i="25"/>
  <c r="D85" i="27"/>
  <c r="F85" i="27" s="1" a="1"/>
  <c r="F85" i="27" s="1"/>
  <c r="D86" i="27"/>
  <c r="F86" i="27" s="1" a="1"/>
  <c r="F86" i="27" s="1"/>
  <c r="D81" i="27"/>
  <c r="F81" i="27" s="1" a="1"/>
  <c r="F81" i="27" s="1"/>
  <c r="D80" i="27"/>
  <c r="F80" i="27" s="1" a="1"/>
  <c r="F80" i="27" s="1"/>
  <c r="D66" i="27"/>
  <c r="F66" i="27" s="1" a="1"/>
  <c r="F66" i="27" s="1"/>
  <c r="H18" i="27"/>
  <c r="Q28" i="25"/>
  <c r="D82" i="23"/>
  <c r="Q154" i="25" s="1"/>
  <c r="Q155" i="25" s="1"/>
  <c r="D51" i="23"/>
  <c r="Q53" i="25" s="1"/>
  <c r="D50" i="23"/>
  <c r="Q54" i="25" s="1"/>
  <c r="D48" i="23"/>
  <c r="Q52" i="25" s="1"/>
  <c r="D47" i="23"/>
  <c r="Q51" i="25" s="1"/>
  <c r="D46" i="23"/>
  <c r="Q50" i="25" s="1"/>
  <c r="D45" i="23"/>
  <c r="Q49" i="25" s="1"/>
  <c r="D44" i="23"/>
  <c r="Q48" i="25" s="1"/>
  <c r="D43" i="23"/>
  <c r="Q47" i="25" s="1"/>
  <c r="D42" i="23"/>
  <c r="Q46" i="25" s="1"/>
  <c r="D41" i="23"/>
  <c r="Q45" i="25" s="1"/>
  <c r="D40" i="23"/>
  <c r="Q44" i="25" s="1"/>
  <c r="J18" i="25"/>
  <c r="J19" i="25"/>
  <c r="J20" i="25"/>
  <c r="J21" i="25"/>
  <c r="J22" i="25"/>
  <c r="J23" i="25"/>
  <c r="J24" i="25"/>
  <c r="J25" i="25"/>
  <c r="J26" i="25"/>
  <c r="J29" i="25"/>
  <c r="J30" i="25"/>
  <c r="J33" i="25"/>
  <c r="J34" i="25"/>
  <c r="J17" i="25"/>
  <c r="D362" i="27"/>
  <c r="F362" i="27" s="1" a="1"/>
  <c r="F362" i="27" s="1"/>
  <c r="D361" i="27"/>
  <c r="F361" i="27" s="1" a="1"/>
  <c r="F361" i="27" s="1"/>
  <c r="D360" i="27"/>
  <c r="F360" i="27" s="1" a="1"/>
  <c r="F360" i="27" s="1"/>
  <c r="D359" i="27"/>
  <c r="F359" i="27" s="1" a="1"/>
  <c r="F359" i="27" s="1"/>
  <c r="D358" i="27"/>
  <c r="F358" i="27" s="1" a="1"/>
  <c r="F358" i="27" s="1"/>
  <c r="D357" i="27"/>
  <c r="F357" i="27" s="1" a="1"/>
  <c r="F357" i="27" s="1"/>
  <c r="D356" i="27"/>
  <c r="F356" i="27" s="1" a="1"/>
  <c r="F356" i="27" s="1"/>
  <c r="D355" i="27"/>
  <c r="F355" i="27" s="1" a="1"/>
  <c r="F355" i="27" s="1"/>
  <c r="D354" i="27"/>
  <c r="F354" i="27" s="1" a="1"/>
  <c r="F354" i="27" s="1"/>
  <c r="D353" i="27"/>
  <c r="F353" i="27" s="1" a="1"/>
  <c r="F353" i="27" s="1"/>
  <c r="D352" i="27"/>
  <c r="F352" i="27" s="1" a="1"/>
  <c r="F352" i="27" s="1"/>
  <c r="D351" i="27"/>
  <c r="F351" i="27" s="1" a="1"/>
  <c r="F351" i="27" s="1"/>
  <c r="D350" i="27"/>
  <c r="F350" i="27" s="1" a="1"/>
  <c r="F350" i="27" s="1"/>
  <c r="D349" i="27"/>
  <c r="F349" i="27" s="1" a="1"/>
  <c r="F349" i="27" s="1"/>
  <c r="D348" i="27"/>
  <c r="F348" i="27" s="1" a="1"/>
  <c r="F348" i="27" s="1"/>
  <c r="D347" i="27"/>
  <c r="F347" i="27" s="1" a="1"/>
  <c r="F347" i="27" s="1"/>
  <c r="D346" i="27"/>
  <c r="F346" i="27" s="1" a="1"/>
  <c r="F346" i="27" s="1"/>
  <c r="D345" i="27"/>
  <c r="F345" i="27" s="1" a="1"/>
  <c r="F345" i="27" s="1"/>
  <c r="D344" i="27"/>
  <c r="F344" i="27" s="1" a="1"/>
  <c r="F344" i="27" s="1"/>
  <c r="D343" i="27"/>
  <c r="F343" i="27" s="1" a="1"/>
  <c r="F343" i="27" s="1"/>
  <c r="D342" i="27"/>
  <c r="F342" i="27" s="1" a="1"/>
  <c r="F342" i="27" s="1"/>
  <c r="D341" i="27"/>
  <c r="F341" i="27" s="1" a="1"/>
  <c r="F341" i="27" s="1"/>
  <c r="D340" i="27"/>
  <c r="F340" i="27" s="1" a="1"/>
  <c r="F340" i="27" s="1"/>
  <c r="D339" i="27"/>
  <c r="F339" i="27" s="1" a="1"/>
  <c r="F339" i="27" s="1"/>
  <c r="D338" i="27"/>
  <c r="F338" i="27" s="1" a="1"/>
  <c r="F338" i="27" s="1"/>
  <c r="D337" i="27"/>
  <c r="F337" i="27" s="1" a="1"/>
  <c r="F337" i="27" s="1"/>
  <c r="D336" i="27"/>
  <c r="F336" i="27" s="1" a="1"/>
  <c r="F336" i="27" s="1"/>
  <c r="D335" i="27"/>
  <c r="F335" i="27" s="1" a="1"/>
  <c r="F335" i="27" s="1"/>
  <c r="D334" i="27"/>
  <c r="F334" i="27" s="1" a="1"/>
  <c r="F334" i="27" s="1"/>
  <c r="D333" i="27"/>
  <c r="F333" i="27" s="1" a="1"/>
  <c r="F333" i="27" s="1"/>
  <c r="D332" i="27"/>
  <c r="F332" i="27" s="1" a="1"/>
  <c r="F332" i="27" s="1"/>
  <c r="D331" i="27"/>
  <c r="F331" i="27" s="1" a="1"/>
  <c r="F331" i="27" s="1"/>
  <c r="D330" i="27"/>
  <c r="F330" i="27" s="1" a="1"/>
  <c r="F330" i="27" s="1"/>
  <c r="D329" i="27"/>
  <c r="F329" i="27" s="1" a="1"/>
  <c r="F329" i="27" s="1"/>
  <c r="D328" i="27"/>
  <c r="F328" i="27" s="1" a="1"/>
  <c r="F328" i="27" s="1"/>
  <c r="D327" i="27"/>
  <c r="F327" i="27" s="1" a="1"/>
  <c r="F327" i="27" s="1"/>
  <c r="D326" i="27"/>
  <c r="F326" i="27" s="1" a="1"/>
  <c r="F326" i="27" s="1"/>
  <c r="D325" i="27"/>
  <c r="F325" i="27" s="1" a="1"/>
  <c r="F325" i="27" s="1"/>
  <c r="D324" i="27"/>
  <c r="F324" i="27" s="1" a="1"/>
  <c r="F324" i="27" s="1"/>
  <c r="D323" i="27"/>
  <c r="F323" i="27" s="1" a="1"/>
  <c r="F323" i="27" s="1"/>
  <c r="D322" i="27"/>
  <c r="F322" i="27" s="1" a="1"/>
  <c r="F322" i="27" s="1"/>
  <c r="D321" i="27"/>
  <c r="F321" i="27" s="1" a="1"/>
  <c r="F321" i="27" s="1"/>
  <c r="D320" i="27"/>
  <c r="F320" i="27" s="1" a="1"/>
  <c r="F320" i="27" s="1"/>
  <c r="D319" i="27"/>
  <c r="F319" i="27" s="1" a="1"/>
  <c r="F319" i="27" s="1"/>
  <c r="D318" i="27"/>
  <c r="F318" i="27" s="1" a="1"/>
  <c r="F318" i="27" s="1"/>
  <c r="D317" i="27"/>
  <c r="F317" i="27" s="1" a="1"/>
  <c r="F317" i="27" s="1"/>
  <c r="D316" i="27"/>
  <c r="F316" i="27" s="1" a="1"/>
  <c r="F316" i="27" s="1"/>
  <c r="D315" i="27"/>
  <c r="F315" i="27" s="1" a="1"/>
  <c r="F315" i="27" s="1"/>
  <c r="D314" i="27"/>
  <c r="F314" i="27" s="1" a="1"/>
  <c r="F314" i="27" s="1"/>
  <c r="D313" i="27"/>
  <c r="F313" i="27" s="1" a="1"/>
  <c r="F313" i="27" s="1"/>
  <c r="D312" i="27"/>
  <c r="F312" i="27" s="1" a="1"/>
  <c r="F312" i="27" s="1"/>
  <c r="D311" i="27"/>
  <c r="F311" i="27" s="1" a="1"/>
  <c r="F311" i="27" s="1"/>
  <c r="D310" i="27"/>
  <c r="F310" i="27" s="1" a="1"/>
  <c r="F310" i="27" s="1"/>
  <c r="D309" i="27"/>
  <c r="F309" i="27" s="1" a="1"/>
  <c r="F309" i="27" s="1"/>
  <c r="D308" i="27"/>
  <c r="F308" i="27" s="1" a="1"/>
  <c r="F308" i="27" s="1"/>
  <c r="D307" i="27"/>
  <c r="F307" i="27" s="1" a="1"/>
  <c r="F307" i="27" s="1"/>
  <c r="D306" i="27"/>
  <c r="F306" i="27" s="1" a="1"/>
  <c r="F306" i="27" s="1"/>
  <c r="D305" i="27"/>
  <c r="F305" i="27" s="1" a="1"/>
  <c r="F305" i="27" s="1"/>
  <c r="D304" i="27"/>
  <c r="F304" i="27" s="1" a="1"/>
  <c r="F304" i="27" s="1"/>
  <c r="D303" i="27"/>
  <c r="F303" i="27" s="1" a="1"/>
  <c r="F303" i="27" s="1"/>
  <c r="D302" i="27"/>
  <c r="F302" i="27" s="1" a="1"/>
  <c r="F302" i="27" s="1"/>
  <c r="D301" i="27"/>
  <c r="F301" i="27" s="1" a="1"/>
  <c r="F301" i="27" s="1"/>
  <c r="D300" i="27"/>
  <c r="F300" i="27" s="1" a="1"/>
  <c r="F300" i="27" s="1"/>
  <c r="D299" i="27"/>
  <c r="F299" i="27" s="1" a="1"/>
  <c r="F299" i="27" s="1"/>
  <c r="D298" i="27"/>
  <c r="F298" i="27" s="1" a="1"/>
  <c r="F298" i="27" s="1"/>
  <c r="D297" i="27"/>
  <c r="F297" i="27" s="1" a="1"/>
  <c r="F297" i="27" s="1"/>
  <c r="D296" i="27"/>
  <c r="F296" i="27" s="1" a="1"/>
  <c r="F296" i="27" s="1"/>
  <c r="D295" i="27"/>
  <c r="F295" i="27" s="1" a="1"/>
  <c r="F295" i="27" s="1"/>
  <c r="D294" i="27"/>
  <c r="F294" i="27" s="1" a="1"/>
  <c r="F294" i="27" s="1"/>
  <c r="D293" i="27"/>
  <c r="F293" i="27" s="1" a="1"/>
  <c r="F293" i="27" s="1"/>
  <c r="D292" i="27"/>
  <c r="F292" i="27" s="1" a="1"/>
  <c r="F292" i="27" s="1"/>
  <c r="D291" i="27"/>
  <c r="F291" i="27" s="1" a="1"/>
  <c r="F291" i="27" s="1"/>
  <c r="D290" i="27"/>
  <c r="F290" i="27" s="1" a="1"/>
  <c r="F290" i="27" s="1"/>
  <c r="D289" i="27"/>
  <c r="F289" i="27" s="1" a="1"/>
  <c r="F289" i="27" s="1"/>
  <c r="D288" i="27"/>
  <c r="F288" i="27" s="1" a="1"/>
  <c r="F288" i="27" s="1"/>
  <c r="D287" i="27"/>
  <c r="F287" i="27" s="1" a="1"/>
  <c r="F287" i="27" s="1"/>
  <c r="D286" i="27"/>
  <c r="F286" i="27" s="1" a="1"/>
  <c r="F286" i="27" s="1"/>
  <c r="D285" i="27"/>
  <c r="F285" i="27" s="1" a="1"/>
  <c r="F285" i="27" s="1"/>
  <c r="D284" i="27"/>
  <c r="F284" i="27" s="1" a="1"/>
  <c r="F284" i="27" s="1"/>
  <c r="D283" i="27"/>
  <c r="F283" i="27" s="1" a="1"/>
  <c r="F283" i="27" s="1"/>
  <c r="D282" i="27"/>
  <c r="F282" i="27" s="1" a="1"/>
  <c r="F282" i="27" s="1"/>
  <c r="D281" i="27"/>
  <c r="F281" i="27" s="1" a="1"/>
  <c r="F281" i="27" s="1"/>
  <c r="D280" i="27"/>
  <c r="F280" i="27" s="1" a="1"/>
  <c r="F280" i="27" s="1"/>
  <c r="D279" i="27"/>
  <c r="F279" i="27" s="1" a="1"/>
  <c r="F279" i="27" s="1"/>
  <c r="D278" i="27"/>
  <c r="F278" i="27" s="1" a="1"/>
  <c r="F278" i="27" s="1"/>
  <c r="D277" i="27"/>
  <c r="F277" i="27" s="1" a="1"/>
  <c r="F277" i="27" s="1"/>
  <c r="D276" i="27"/>
  <c r="F276" i="27" s="1" a="1"/>
  <c r="F276" i="27" s="1"/>
  <c r="D275" i="27"/>
  <c r="F275" i="27" s="1" a="1"/>
  <c r="F275" i="27" s="1"/>
  <c r="D274" i="27"/>
  <c r="F274" i="27" s="1" a="1"/>
  <c r="F274" i="27" s="1"/>
  <c r="D273" i="27"/>
  <c r="F273" i="27" s="1" a="1"/>
  <c r="F273" i="27" s="1"/>
  <c r="D272" i="27"/>
  <c r="F272" i="27" s="1" a="1"/>
  <c r="F272" i="27" s="1"/>
  <c r="D271" i="27"/>
  <c r="F271" i="27" s="1" a="1"/>
  <c r="F271" i="27" s="1"/>
  <c r="D270" i="27"/>
  <c r="F270" i="27" s="1" a="1"/>
  <c r="F270" i="27" s="1"/>
  <c r="D269" i="27"/>
  <c r="F269" i="27" s="1" a="1"/>
  <c r="F269" i="27" s="1"/>
  <c r="D268" i="27"/>
  <c r="F268" i="27" s="1" a="1"/>
  <c r="F268" i="27" s="1"/>
  <c r="D267" i="27"/>
  <c r="F267" i="27" s="1" a="1"/>
  <c r="F267" i="27" s="1"/>
  <c r="D266" i="27"/>
  <c r="F266" i="27" s="1" a="1"/>
  <c r="F266" i="27" s="1"/>
  <c r="E265" i="27"/>
  <c r="D265" i="27"/>
  <c r="E264" i="27"/>
  <c r="D264" i="27"/>
  <c r="E263" i="27"/>
  <c r="D263" i="27"/>
  <c r="E262" i="27"/>
  <c r="D262" i="27"/>
  <c r="E261" i="27"/>
  <c r="D261" i="27"/>
  <c r="E260" i="27"/>
  <c r="D260" i="27"/>
  <c r="F260" i="27" s="1" a="1"/>
  <c r="F260" i="27" s="1"/>
  <c r="E259" i="27"/>
  <c r="D259" i="27"/>
  <c r="D258" i="27"/>
  <c r="F258" i="27" s="1" a="1"/>
  <c r="F258" i="27" s="1"/>
  <c r="E257" i="27"/>
  <c r="D257" i="27"/>
  <c r="F257" i="27" s="1" a="1"/>
  <c r="F257" i="27" s="1"/>
  <c r="E256" i="27"/>
  <c r="D256" i="27"/>
  <c r="E255" i="27"/>
  <c r="D255" i="27"/>
  <c r="E254" i="27"/>
  <c r="D254" i="27"/>
  <c r="E253" i="27"/>
  <c r="D253" i="27"/>
  <c r="E252" i="27"/>
  <c r="D252" i="27"/>
  <c r="E251" i="27"/>
  <c r="D251" i="27"/>
  <c r="F251" i="27" s="1" a="1"/>
  <c r="F251" i="27" s="1"/>
  <c r="D250" i="27"/>
  <c r="F250" i="27" s="1" a="1"/>
  <c r="F250" i="27" s="1"/>
  <c r="D249" i="27"/>
  <c r="F249" i="27" s="1" a="1"/>
  <c r="F249" i="27" s="1"/>
  <c r="D248" i="27"/>
  <c r="F248" i="27" s="1" a="1"/>
  <c r="F248" i="27" s="1"/>
  <c r="D247" i="27"/>
  <c r="F247" i="27" s="1" a="1"/>
  <c r="F247" i="27" s="1"/>
  <c r="D246" i="27"/>
  <c r="F246" i="27" s="1" a="1"/>
  <c r="F246" i="27" s="1"/>
  <c r="D245" i="27"/>
  <c r="F245" i="27" s="1" a="1"/>
  <c r="F245" i="27" s="1"/>
  <c r="D244" i="27"/>
  <c r="F244" i="27" s="1" a="1"/>
  <c r="F244" i="27" s="1"/>
  <c r="D243" i="27"/>
  <c r="F243" i="27" s="1" a="1"/>
  <c r="F243" i="27" s="1"/>
  <c r="D242" i="27"/>
  <c r="F242" i="27" s="1" a="1"/>
  <c r="F242" i="27" s="1"/>
  <c r="D241" i="27"/>
  <c r="F241" i="27" s="1" a="1"/>
  <c r="F241" i="27" s="1"/>
  <c r="D240" i="27"/>
  <c r="F240" i="27" s="1" a="1"/>
  <c r="F240" i="27" s="1"/>
  <c r="D239" i="27"/>
  <c r="F239" i="27" s="1" a="1"/>
  <c r="F239" i="27" s="1"/>
  <c r="D238" i="27"/>
  <c r="F238" i="27" s="1" a="1"/>
  <c r="F238" i="27" s="1"/>
  <c r="D237" i="27"/>
  <c r="F237" i="27" s="1" a="1"/>
  <c r="F237" i="27" s="1"/>
  <c r="D236" i="27"/>
  <c r="F236" i="27" s="1" a="1"/>
  <c r="F236" i="27" s="1"/>
  <c r="D235" i="27"/>
  <c r="F235" i="27" s="1" a="1"/>
  <c r="F235" i="27" s="1"/>
  <c r="D234" i="27"/>
  <c r="F234" i="27" s="1" a="1"/>
  <c r="F234" i="27" s="1"/>
  <c r="D233" i="27"/>
  <c r="F233" i="27" s="1" a="1"/>
  <c r="F233" i="27" s="1"/>
  <c r="D232" i="27"/>
  <c r="F232" i="27" s="1" a="1"/>
  <c r="F232" i="27" s="1"/>
  <c r="D231" i="27"/>
  <c r="F231" i="27" s="1" a="1"/>
  <c r="F231" i="27" s="1"/>
  <c r="D230" i="27"/>
  <c r="F230" i="27" s="1" a="1"/>
  <c r="F230" i="27" s="1"/>
  <c r="D229" i="27"/>
  <c r="F229" i="27" s="1" a="1"/>
  <c r="F229" i="27" s="1"/>
  <c r="D228" i="27"/>
  <c r="F228" i="27" s="1" a="1"/>
  <c r="F228" i="27" s="1"/>
  <c r="D227" i="27"/>
  <c r="F227" i="27" s="1" a="1"/>
  <c r="F227" i="27" s="1"/>
  <c r="D226" i="27"/>
  <c r="F226" i="27" s="1" a="1"/>
  <c r="F226" i="27" s="1"/>
  <c r="D225" i="27"/>
  <c r="F225" i="27" s="1" a="1"/>
  <c r="F225" i="27" s="1"/>
  <c r="D224" i="27"/>
  <c r="F224" i="27" s="1" a="1"/>
  <c r="F224" i="27" s="1"/>
  <c r="D223" i="27"/>
  <c r="F223" i="27" s="1" a="1"/>
  <c r="F223" i="27" s="1"/>
  <c r="D222" i="27"/>
  <c r="F222" i="27" s="1" a="1"/>
  <c r="F222" i="27" s="1"/>
  <c r="D221" i="27"/>
  <c r="F221" i="27" s="1" a="1"/>
  <c r="F221" i="27" s="1"/>
  <c r="D220" i="27"/>
  <c r="F220" i="27" s="1" a="1"/>
  <c r="F220" i="27" s="1"/>
  <c r="D219" i="27"/>
  <c r="F219" i="27" s="1" a="1"/>
  <c r="F219" i="27" s="1"/>
  <c r="D218" i="27"/>
  <c r="F218" i="27" s="1" a="1"/>
  <c r="F218" i="27" s="1"/>
  <c r="D217" i="27"/>
  <c r="F217" i="27" s="1" a="1"/>
  <c r="F217" i="27" s="1"/>
  <c r="D216" i="27"/>
  <c r="F216" i="27" s="1" a="1"/>
  <c r="F216" i="27" s="1"/>
  <c r="D215" i="27"/>
  <c r="F215" i="27" s="1" a="1"/>
  <c r="F215" i="27" s="1"/>
  <c r="D214" i="27"/>
  <c r="F214" i="27" s="1" a="1"/>
  <c r="F214" i="27" s="1"/>
  <c r="D213" i="27"/>
  <c r="F213" i="27" s="1" a="1"/>
  <c r="F213" i="27" s="1"/>
  <c r="D212" i="27"/>
  <c r="F212" i="27" s="1" a="1"/>
  <c r="F212" i="27" s="1"/>
  <c r="D211" i="27"/>
  <c r="F211" i="27" s="1" a="1"/>
  <c r="F211" i="27" s="1"/>
  <c r="D210" i="27"/>
  <c r="F210" i="27" s="1" a="1"/>
  <c r="F210" i="27" s="1"/>
  <c r="D209" i="27"/>
  <c r="F209" i="27" s="1" a="1"/>
  <c r="F209" i="27" s="1"/>
  <c r="D208" i="27"/>
  <c r="F208" i="27" s="1" a="1"/>
  <c r="F208" i="27" s="1"/>
  <c r="D207" i="27"/>
  <c r="F207" i="27" s="1" a="1"/>
  <c r="F207" i="27" s="1"/>
  <c r="D206" i="27"/>
  <c r="F206" i="27" s="1" a="1"/>
  <c r="F206" i="27" s="1"/>
  <c r="D205" i="27"/>
  <c r="F205" i="27" s="1" a="1"/>
  <c r="F205" i="27" s="1"/>
  <c r="D204" i="27"/>
  <c r="F204" i="27" s="1" a="1"/>
  <c r="F204" i="27" s="1"/>
  <c r="D203" i="27"/>
  <c r="F203" i="27" s="1" a="1"/>
  <c r="F203" i="27" s="1"/>
  <c r="D202" i="27"/>
  <c r="F202" i="27" s="1" a="1"/>
  <c r="F202" i="27" s="1"/>
  <c r="D201" i="27"/>
  <c r="F201" i="27" s="1" a="1"/>
  <c r="F201" i="27" s="1"/>
  <c r="D200" i="27"/>
  <c r="F200" i="27" s="1" a="1"/>
  <c r="F200" i="27" s="1"/>
  <c r="D199" i="27"/>
  <c r="F199" i="27" s="1" a="1"/>
  <c r="F199" i="27" s="1"/>
  <c r="D198" i="27"/>
  <c r="F198" i="27" s="1" a="1"/>
  <c r="F198" i="27" s="1"/>
  <c r="D197" i="27"/>
  <c r="F197" i="27" s="1" a="1"/>
  <c r="F197" i="27" s="1"/>
  <c r="D196" i="27"/>
  <c r="F196" i="27" s="1" a="1"/>
  <c r="F196" i="27" s="1"/>
  <c r="D195" i="27"/>
  <c r="F195" i="27" s="1" a="1"/>
  <c r="F195" i="27" s="1"/>
  <c r="D194" i="27"/>
  <c r="F194" i="27" s="1" a="1"/>
  <c r="F194" i="27" s="1"/>
  <c r="D193" i="27"/>
  <c r="F193" i="27" s="1" a="1"/>
  <c r="F193" i="27" s="1"/>
  <c r="D192" i="27"/>
  <c r="F192" i="27" s="1" a="1"/>
  <c r="F192" i="27" s="1"/>
  <c r="D191" i="27"/>
  <c r="F191" i="27" s="1" a="1"/>
  <c r="F191" i="27" s="1"/>
  <c r="D190" i="27"/>
  <c r="F190" i="27" s="1" a="1"/>
  <c r="F190" i="27" s="1"/>
  <c r="D189" i="27"/>
  <c r="F189" i="27" s="1" a="1"/>
  <c r="F189" i="27" s="1"/>
  <c r="D188" i="27"/>
  <c r="F188" i="27" s="1" a="1"/>
  <c r="F188" i="27" s="1"/>
  <c r="D187" i="27"/>
  <c r="F187" i="27" s="1" a="1"/>
  <c r="F187" i="27" s="1"/>
  <c r="D186" i="27"/>
  <c r="F186" i="27" s="1" a="1"/>
  <c r="F186" i="27" s="1"/>
  <c r="D185" i="27"/>
  <c r="F185" i="27" s="1" a="1"/>
  <c r="F185" i="27" s="1"/>
  <c r="D184" i="27"/>
  <c r="F184" i="27" s="1" a="1"/>
  <c r="F184" i="27" s="1"/>
  <c r="D183" i="27"/>
  <c r="F183" i="27" s="1" a="1"/>
  <c r="F183" i="27" s="1"/>
  <c r="D182" i="27"/>
  <c r="F182" i="27" s="1" a="1"/>
  <c r="F182" i="27" s="1"/>
  <c r="D181" i="27"/>
  <c r="F181" i="27" s="1" a="1"/>
  <c r="F181" i="27" s="1"/>
  <c r="D180" i="27"/>
  <c r="F180" i="27" s="1" a="1"/>
  <c r="F180" i="27" s="1"/>
  <c r="D179" i="27"/>
  <c r="F179" i="27" s="1" a="1"/>
  <c r="F179" i="27" s="1"/>
  <c r="D178" i="27"/>
  <c r="F178" i="27" s="1" a="1"/>
  <c r="F178" i="27" s="1"/>
  <c r="D177" i="27"/>
  <c r="F177" i="27" s="1" a="1"/>
  <c r="F177" i="27" s="1"/>
  <c r="D176" i="27"/>
  <c r="F176" i="27" s="1" a="1"/>
  <c r="F176" i="27" s="1"/>
  <c r="D175" i="27"/>
  <c r="F175" i="27" s="1" a="1"/>
  <c r="F175" i="27" s="1"/>
  <c r="D174" i="27"/>
  <c r="F174" i="27" s="1" a="1"/>
  <c r="F174" i="27" s="1"/>
  <c r="D173" i="27"/>
  <c r="F173" i="27" s="1" a="1"/>
  <c r="F173" i="27" s="1"/>
  <c r="D172" i="27"/>
  <c r="F172" i="27" s="1" a="1"/>
  <c r="F172" i="27" s="1"/>
  <c r="D171" i="27"/>
  <c r="F171" i="27" s="1" a="1"/>
  <c r="F171" i="27" s="1"/>
  <c r="D170" i="27"/>
  <c r="F170" i="27" s="1" a="1"/>
  <c r="F170" i="27" s="1"/>
  <c r="D169" i="27"/>
  <c r="F169" i="27" s="1" a="1"/>
  <c r="F169" i="27" s="1"/>
  <c r="D168" i="27"/>
  <c r="F168" i="27" s="1" a="1"/>
  <c r="F168" i="27" s="1"/>
  <c r="D167" i="27"/>
  <c r="F167" i="27" s="1" a="1"/>
  <c r="F167" i="27" s="1"/>
  <c r="D166" i="27"/>
  <c r="F166" i="27" s="1" a="1"/>
  <c r="F166" i="27" s="1"/>
  <c r="D165" i="27"/>
  <c r="F165" i="27" s="1" a="1"/>
  <c r="F165" i="27" s="1"/>
  <c r="D164" i="27"/>
  <c r="F164" i="27" s="1" a="1"/>
  <c r="F164" i="27" s="1"/>
  <c r="D163" i="27"/>
  <c r="F163" i="27" s="1" a="1"/>
  <c r="F163" i="27" s="1"/>
  <c r="D162" i="27"/>
  <c r="F162" i="27" s="1" a="1"/>
  <c r="F162" i="27" s="1"/>
  <c r="D161" i="27"/>
  <c r="F161" i="27" s="1" a="1"/>
  <c r="F161" i="27" s="1"/>
  <c r="D160" i="27"/>
  <c r="F160" i="27" s="1" a="1"/>
  <c r="F160" i="27" s="1"/>
  <c r="D159" i="27"/>
  <c r="F159" i="27" s="1" a="1"/>
  <c r="F159" i="27" s="1"/>
  <c r="D158" i="27"/>
  <c r="F158" i="27" s="1" a="1"/>
  <c r="F158" i="27" s="1"/>
  <c r="D157" i="27"/>
  <c r="F157" i="27" s="1" a="1"/>
  <c r="F157" i="27" s="1"/>
  <c r="D156" i="27"/>
  <c r="F156" i="27" s="1" a="1"/>
  <c r="F156" i="27" s="1"/>
  <c r="D155" i="27"/>
  <c r="F155" i="27" s="1" a="1"/>
  <c r="F155" i="27" s="1"/>
  <c r="D154" i="27"/>
  <c r="F154" i="27" s="1" a="1"/>
  <c r="F154" i="27" s="1"/>
  <c r="D153" i="27"/>
  <c r="F153" i="27" s="1" a="1"/>
  <c r="F153" i="27" s="1"/>
  <c r="D152" i="27"/>
  <c r="F152" i="27" s="1" a="1"/>
  <c r="F152" i="27" s="1"/>
  <c r="D151" i="27"/>
  <c r="F151" i="27" s="1" a="1"/>
  <c r="F151" i="27" s="1"/>
  <c r="D150" i="27"/>
  <c r="F150" i="27" s="1" a="1"/>
  <c r="F150" i="27" s="1"/>
  <c r="D149" i="27"/>
  <c r="F149" i="27" s="1" a="1"/>
  <c r="F149" i="27" s="1"/>
  <c r="D148" i="27"/>
  <c r="F148" i="27" s="1" a="1"/>
  <c r="F148" i="27" s="1"/>
  <c r="D147" i="27"/>
  <c r="F147" i="27" s="1" a="1"/>
  <c r="F147" i="27" s="1"/>
  <c r="D146" i="27"/>
  <c r="F146" i="27" s="1" a="1"/>
  <c r="F146" i="27" s="1"/>
  <c r="D145" i="27"/>
  <c r="F145" i="27" s="1" a="1"/>
  <c r="F145" i="27" s="1"/>
  <c r="D144" i="27"/>
  <c r="F144" i="27" s="1" a="1"/>
  <c r="F144" i="27" s="1"/>
  <c r="D143" i="27"/>
  <c r="F143" i="27" s="1" a="1"/>
  <c r="F143" i="27" s="1"/>
  <c r="D142" i="27"/>
  <c r="F142" i="27" s="1" a="1"/>
  <c r="F142" i="27" s="1"/>
  <c r="D141" i="27"/>
  <c r="F141" i="27" s="1" a="1"/>
  <c r="F141" i="27" s="1"/>
  <c r="D140" i="27"/>
  <c r="F140" i="27" s="1" a="1"/>
  <c r="F140" i="27" s="1"/>
  <c r="D139" i="27"/>
  <c r="F139" i="27" s="1" a="1"/>
  <c r="F139" i="27" s="1"/>
  <c r="D138" i="27"/>
  <c r="F138" i="27" s="1" a="1"/>
  <c r="F138" i="27" s="1"/>
  <c r="D137" i="27"/>
  <c r="F137" i="27" s="1" a="1"/>
  <c r="F137" i="27" s="1"/>
  <c r="D136" i="27"/>
  <c r="F136" i="27" s="1" a="1"/>
  <c r="F136" i="27" s="1"/>
  <c r="D135" i="27"/>
  <c r="F135" i="27" s="1" a="1"/>
  <c r="F135" i="27" s="1"/>
  <c r="D134" i="27"/>
  <c r="F134" i="27" s="1" a="1"/>
  <c r="F134" i="27" s="1"/>
  <c r="D133" i="27"/>
  <c r="F133" i="27" s="1" a="1"/>
  <c r="F133" i="27" s="1"/>
  <c r="D132" i="27"/>
  <c r="F132" i="27" s="1" a="1"/>
  <c r="F132" i="27" s="1"/>
  <c r="D131" i="27"/>
  <c r="F131" i="27" s="1" a="1"/>
  <c r="F131" i="27" s="1"/>
  <c r="D130" i="27"/>
  <c r="F130" i="27" s="1" a="1"/>
  <c r="F130" i="27" s="1"/>
  <c r="D129" i="27"/>
  <c r="F129" i="27" s="1" a="1"/>
  <c r="F129" i="27" s="1"/>
  <c r="D128" i="27"/>
  <c r="F128" i="27" s="1" a="1"/>
  <c r="F128" i="27" s="1"/>
  <c r="D127" i="27"/>
  <c r="F127" i="27" s="1" a="1"/>
  <c r="F127" i="27" s="1"/>
  <c r="D126" i="27"/>
  <c r="F126" i="27" s="1" a="1"/>
  <c r="F126" i="27" s="1"/>
  <c r="D125" i="27"/>
  <c r="F125" i="27" s="1" a="1"/>
  <c r="F125" i="27" s="1"/>
  <c r="D124" i="27"/>
  <c r="F124" i="27" s="1" a="1"/>
  <c r="F124" i="27" s="1"/>
  <c r="D123" i="27"/>
  <c r="F123" i="27" s="1" a="1"/>
  <c r="F123" i="27" s="1"/>
  <c r="D122" i="27"/>
  <c r="F122" i="27" s="1" a="1"/>
  <c r="F122" i="27" s="1"/>
  <c r="D121" i="27"/>
  <c r="F121" i="27" s="1" a="1"/>
  <c r="F121" i="27" s="1"/>
  <c r="D120" i="27"/>
  <c r="F120" i="27" s="1" a="1"/>
  <c r="F120" i="27" s="1"/>
  <c r="D119" i="27"/>
  <c r="F119" i="27" s="1" a="1"/>
  <c r="F119" i="27" s="1"/>
  <c r="D118" i="27"/>
  <c r="F118" i="27" s="1" a="1"/>
  <c r="F118" i="27" s="1"/>
  <c r="D117" i="27"/>
  <c r="F117" i="27" s="1" a="1"/>
  <c r="F117" i="27" s="1"/>
  <c r="D116" i="27"/>
  <c r="F116" i="27" s="1" a="1"/>
  <c r="F116" i="27" s="1"/>
  <c r="D115" i="27"/>
  <c r="F115" i="27" s="1" a="1"/>
  <c r="F115" i="27" s="1"/>
  <c r="D114" i="27"/>
  <c r="F114" i="27" s="1" a="1"/>
  <c r="F114" i="27" s="1"/>
  <c r="D113" i="27"/>
  <c r="F113" i="27" s="1" a="1"/>
  <c r="F113" i="27" s="1"/>
  <c r="D112" i="27"/>
  <c r="F112" i="27" s="1" a="1"/>
  <c r="F112" i="27" s="1"/>
  <c r="D111" i="27"/>
  <c r="F111" i="27" s="1" a="1"/>
  <c r="F111" i="27" s="1"/>
  <c r="D110" i="27"/>
  <c r="F110" i="27" s="1" a="1"/>
  <c r="F110" i="27" s="1"/>
  <c r="D109" i="27"/>
  <c r="F109" i="27" s="1" a="1"/>
  <c r="F109" i="27" s="1"/>
  <c r="D108" i="27"/>
  <c r="F108" i="27" s="1" a="1"/>
  <c r="F108" i="27" s="1"/>
  <c r="D107" i="27"/>
  <c r="F107" i="27" s="1" a="1"/>
  <c r="F107" i="27" s="1"/>
  <c r="D99" i="27"/>
  <c r="F99" i="27" s="1" a="1"/>
  <c r="F99" i="27" s="1"/>
  <c r="D98" i="27"/>
  <c r="F98" i="27" s="1" a="1"/>
  <c r="F98" i="27" s="1"/>
  <c r="D97" i="27"/>
  <c r="F97" i="27" s="1" a="1"/>
  <c r="F97" i="27" s="1"/>
  <c r="D96" i="27"/>
  <c r="F96" i="27" s="1" a="1"/>
  <c r="F96" i="27" s="1"/>
  <c r="D95" i="27"/>
  <c r="F95" i="27" s="1" a="1"/>
  <c r="F95" i="27" s="1"/>
  <c r="D94" i="27"/>
  <c r="F94" i="27" s="1" a="1"/>
  <c r="F94" i="27" s="1"/>
  <c r="D93" i="27"/>
  <c r="F93" i="27" s="1" a="1"/>
  <c r="F93" i="27" s="1"/>
  <c r="D92" i="27"/>
  <c r="F92" i="27" s="1" a="1"/>
  <c r="F92" i="27" s="1"/>
  <c r="D91" i="27"/>
  <c r="F91" i="27" s="1" a="1"/>
  <c r="F91" i="27" s="1"/>
  <c r="D90" i="27"/>
  <c r="F90" i="27" s="1" a="1"/>
  <c r="F90" i="27" s="1"/>
  <c r="D89" i="27"/>
  <c r="F89" i="27" s="1" a="1"/>
  <c r="F89" i="27" s="1"/>
  <c r="D88" i="27"/>
  <c r="F88" i="27" s="1" a="1"/>
  <c r="F88" i="27" s="1"/>
  <c r="D87" i="27"/>
  <c r="F87" i="27" s="1" a="1"/>
  <c r="F87" i="27" s="1"/>
  <c r="D84" i="27"/>
  <c r="F84" i="27" s="1" a="1"/>
  <c r="F84" i="27" s="1"/>
  <c r="D83" i="27"/>
  <c r="F83" i="27" s="1" a="1"/>
  <c r="F83" i="27" s="1"/>
  <c r="D82" i="27"/>
  <c r="F82" i="27" s="1" a="1"/>
  <c r="F82" i="27" s="1"/>
  <c r="D79" i="27"/>
  <c r="F79" i="27" s="1" a="1"/>
  <c r="F79" i="27" s="1"/>
  <c r="D78" i="27"/>
  <c r="F78" i="27" s="1" a="1"/>
  <c r="F78" i="27" s="1"/>
  <c r="D77" i="27"/>
  <c r="F77" i="27" s="1" a="1"/>
  <c r="F77" i="27" s="1"/>
  <c r="D76" i="27"/>
  <c r="F76" i="27" s="1" a="1"/>
  <c r="F76" i="27" s="1"/>
  <c r="D75" i="27"/>
  <c r="F75" i="27" s="1" a="1"/>
  <c r="F75" i="27" s="1"/>
  <c r="D74" i="27"/>
  <c r="F74" i="27" s="1" a="1"/>
  <c r="F74" i="27" s="1"/>
  <c r="D73" i="27"/>
  <c r="F73" i="27" s="1" a="1"/>
  <c r="F73" i="27" s="1"/>
  <c r="D72" i="27"/>
  <c r="F72" i="27" s="1" a="1"/>
  <c r="F72" i="27" s="1"/>
  <c r="D71" i="27"/>
  <c r="F71" i="27" s="1" a="1"/>
  <c r="F71" i="27" s="1"/>
  <c r="D70" i="27"/>
  <c r="F70" i="27" s="1" a="1"/>
  <c r="F70" i="27" s="1"/>
  <c r="D69" i="27"/>
  <c r="F69" i="27" s="1" a="1"/>
  <c r="F69" i="27" s="1"/>
  <c r="D68" i="27"/>
  <c r="F68" i="27" s="1" a="1"/>
  <c r="F68" i="27" s="1"/>
  <c r="D67" i="27"/>
  <c r="F67" i="27" s="1" a="1"/>
  <c r="F67" i="27" s="1"/>
  <c r="D65" i="27"/>
  <c r="F65" i="27" s="1" a="1"/>
  <c r="F65" i="27" s="1"/>
  <c r="D64" i="27"/>
  <c r="F64" i="27" s="1" a="1"/>
  <c r="F64" i="27" s="1"/>
  <c r="D63" i="27"/>
  <c r="F63" i="27" s="1" a="1"/>
  <c r="F63" i="27" s="1"/>
  <c r="D62" i="27"/>
  <c r="F62" i="27" s="1" a="1"/>
  <c r="F62" i="27" s="1"/>
  <c r="D61" i="27"/>
  <c r="F61" i="27" s="1" a="1"/>
  <c r="F61" i="27" s="1"/>
  <c r="D60" i="27"/>
  <c r="F60" i="27" s="1" a="1"/>
  <c r="F60" i="27" s="1"/>
  <c r="D59" i="27"/>
  <c r="F59" i="27" s="1" a="1"/>
  <c r="F59" i="27" s="1"/>
  <c r="D58" i="27"/>
  <c r="F58" i="27" s="1" a="1"/>
  <c r="F58" i="27" s="1"/>
  <c r="D55" i="27"/>
  <c r="F55" i="27" s="1" a="1"/>
  <c r="F55" i="27" s="1"/>
  <c r="D54" i="27"/>
  <c r="F54" i="27" s="1" a="1"/>
  <c r="F54" i="27" s="1"/>
  <c r="D53" i="27"/>
  <c r="F53" i="27" s="1" a="1"/>
  <c r="F53" i="27" s="1"/>
  <c r="D52" i="27"/>
  <c r="F52" i="27" s="1" a="1"/>
  <c r="F52" i="27" s="1"/>
  <c r="D51" i="27"/>
  <c r="F51" i="27" s="1" a="1"/>
  <c r="F51" i="27" s="1"/>
  <c r="D50" i="27"/>
  <c r="F50" i="27" s="1" a="1"/>
  <c r="F50" i="27" s="1"/>
  <c r="D49" i="27"/>
  <c r="F49" i="27" s="1" a="1"/>
  <c r="F49" i="27" s="1"/>
  <c r="D48" i="27"/>
  <c r="F48" i="27" s="1" a="1"/>
  <c r="F48" i="27" s="1"/>
  <c r="H47" i="27"/>
  <c r="D47" i="27"/>
  <c r="F47" i="27" s="1" a="1"/>
  <c r="F47" i="27" s="1"/>
  <c r="H46" i="27"/>
  <c r="D46" i="27"/>
  <c r="F46" i="27" s="1" a="1"/>
  <c r="F46" i="27" s="1"/>
  <c r="H45" i="27"/>
  <c r="D45" i="27"/>
  <c r="F45" i="27" s="1" a="1"/>
  <c r="F45" i="27" s="1"/>
  <c r="H44" i="27"/>
  <c r="D44" i="27"/>
  <c r="F44" i="27" s="1" a="1"/>
  <c r="F44" i="27" s="1"/>
  <c r="H43" i="27"/>
  <c r="D43" i="27"/>
  <c r="F43" i="27" s="1" a="1"/>
  <c r="F43" i="27" s="1"/>
  <c r="H42" i="27"/>
  <c r="D42" i="27"/>
  <c r="F42" i="27" s="1" a="1"/>
  <c r="F42" i="27" s="1"/>
  <c r="H41" i="27"/>
  <c r="D41" i="27"/>
  <c r="F41" i="27" s="1" a="1"/>
  <c r="F41" i="27" s="1"/>
  <c r="H40" i="27"/>
  <c r="D40" i="27"/>
  <c r="F40" i="27" s="1" a="1"/>
  <c r="F40" i="27" s="1"/>
  <c r="H39" i="27"/>
  <c r="D39" i="27"/>
  <c r="F39" i="27" s="1" a="1"/>
  <c r="F39" i="27" s="1"/>
  <c r="H38" i="27"/>
  <c r="D38" i="27"/>
  <c r="F38" i="27" s="1" a="1"/>
  <c r="F38" i="27" s="1"/>
  <c r="H37" i="27"/>
  <c r="D37" i="27"/>
  <c r="F37" i="27" s="1" a="1"/>
  <c r="F37" i="27" s="1"/>
  <c r="H36" i="27"/>
  <c r="D36" i="27"/>
  <c r="F36" i="27" s="1" a="1"/>
  <c r="F36" i="27" s="1"/>
  <c r="H35" i="27"/>
  <c r="D35" i="27"/>
  <c r="F35" i="27" s="1" a="1"/>
  <c r="F35" i="27" s="1"/>
  <c r="H34" i="27"/>
  <c r="D34" i="27"/>
  <c r="F34" i="27" s="1" a="1"/>
  <c r="F34" i="27" s="1"/>
  <c r="H33" i="27"/>
  <c r="D33" i="27"/>
  <c r="F33" i="27" s="1" a="1"/>
  <c r="F33" i="27" s="1"/>
  <c r="H32" i="27"/>
  <c r="D32" i="27"/>
  <c r="F32" i="27" s="1" a="1"/>
  <c r="F32" i="27" s="1"/>
  <c r="H31" i="27"/>
  <c r="D31" i="27"/>
  <c r="F31" i="27" s="1" a="1"/>
  <c r="F31" i="27" s="1"/>
  <c r="H30" i="27"/>
  <c r="D30" i="27"/>
  <c r="F30" i="27" s="1" a="1"/>
  <c r="F30" i="27" s="1"/>
  <c r="H29" i="27"/>
  <c r="D29" i="27"/>
  <c r="F29" i="27" s="1" a="1"/>
  <c r="F29" i="27" s="1"/>
  <c r="H28" i="27"/>
  <c r="D28" i="27"/>
  <c r="F28" i="27" s="1" a="1"/>
  <c r="F28" i="27" s="1"/>
  <c r="H27" i="27"/>
  <c r="D27" i="27"/>
  <c r="F27" i="27" s="1" a="1"/>
  <c r="F27" i="27" s="1"/>
  <c r="H26" i="27"/>
  <c r="D26" i="27"/>
  <c r="F26" i="27" s="1" a="1"/>
  <c r="F26" i="27" s="1"/>
  <c r="H25" i="27"/>
  <c r="D25" i="27"/>
  <c r="F25" i="27" s="1" a="1"/>
  <c r="F25" i="27" s="1"/>
  <c r="H24" i="27"/>
  <c r="D24" i="27"/>
  <c r="F24" i="27" s="1" a="1"/>
  <c r="F24" i="27" s="1"/>
  <c r="H23" i="27"/>
  <c r="D23" i="27"/>
  <c r="F23" i="27" s="1" a="1"/>
  <c r="F23" i="27" s="1"/>
  <c r="H22" i="27"/>
  <c r="D22" i="27"/>
  <c r="F22" i="27" s="1" a="1"/>
  <c r="F22" i="27" s="1"/>
  <c r="H21" i="27"/>
  <c r="D21" i="27"/>
  <c r="F21" i="27" s="1" a="1"/>
  <c r="F21" i="27" s="1"/>
  <c r="H20" i="27"/>
  <c r="D20" i="27"/>
  <c r="F20" i="27" s="1" a="1"/>
  <c r="F20" i="27" s="1"/>
  <c r="H19" i="27"/>
  <c r="D19" i="27"/>
  <c r="F19" i="27" s="1" a="1"/>
  <c r="F19" i="27" s="1"/>
  <c r="D18" i="27"/>
  <c r="F18" i="27" s="1" a="1"/>
  <c r="F18" i="27" s="1"/>
  <c r="D2" i="26"/>
  <c r="Q97" i="25"/>
  <c r="Q96" i="25"/>
  <c r="Q95" i="25"/>
  <c r="Q94" i="25"/>
  <c r="Q93" i="25"/>
  <c r="Q92" i="25"/>
  <c r="Q91" i="25"/>
  <c r="Q90" i="25"/>
  <c r="Q89" i="25"/>
  <c r="Q88" i="25"/>
  <c r="Q87" i="25"/>
  <c r="Q86" i="25"/>
  <c r="Q85" i="25"/>
  <c r="Q84" i="25"/>
  <c r="Q83" i="25"/>
  <c r="Q82" i="25"/>
  <c r="Q81" i="25"/>
  <c r="Q80" i="25"/>
  <c r="Q79" i="25"/>
  <c r="Q78" i="25"/>
  <c r="Q77" i="25"/>
  <c r="Q76" i="25"/>
  <c r="Q75" i="25"/>
  <c r="Q74" i="25"/>
  <c r="Q73" i="25"/>
  <c r="Q72" i="25"/>
  <c r="Q71" i="25"/>
  <c r="Q70" i="25"/>
  <c r="Q69" i="25"/>
  <c r="Q68" i="25"/>
  <c r="Q67" i="25"/>
  <c r="Q66" i="25"/>
  <c r="Q65" i="25"/>
  <c r="Q64" i="25"/>
  <c r="Q63" i="25"/>
  <c r="Q62" i="25"/>
  <c r="Q61" i="25"/>
  <c r="Q60" i="25"/>
  <c r="Q59" i="25"/>
  <c r="Q58" i="25"/>
  <c r="Q57" i="25"/>
  <c r="Q56" i="25"/>
  <c r="Q167" i="25"/>
  <c r="Q165" i="25"/>
  <c r="Q164" i="25"/>
  <c r="Q119" i="25"/>
  <c r="Q115" i="25"/>
  <c r="Q111" i="25"/>
  <c r="Q110" i="25"/>
  <c r="Q109" i="25"/>
  <c r="Q108" i="25"/>
  <c r="Q107" i="25"/>
  <c r="Q106" i="25"/>
  <c r="Q105" i="25"/>
  <c r="Q104" i="25"/>
  <c r="Q103" i="25"/>
  <c r="Q102" i="25"/>
  <c r="Q101" i="25"/>
  <c r="Q100" i="25"/>
  <c r="Q99" i="25"/>
  <c r="Q98" i="25"/>
  <c r="Q55" i="25"/>
  <c r="Q33" i="25"/>
  <c r="Q30" i="25"/>
  <c r="Q26" i="25"/>
  <c r="Q25" i="25"/>
  <c r="Q23" i="25"/>
  <c r="Q19" i="25"/>
  <c r="Q18" i="25"/>
  <c r="Q17" i="25"/>
  <c r="Q16" i="25"/>
  <c r="Q15" i="25"/>
  <c r="Q14" i="25"/>
  <c r="Q11" i="25"/>
  <c r="Q9" i="25"/>
  <c r="Q8" i="25"/>
  <c r="Q7" i="25"/>
  <c r="Q6" i="25"/>
  <c r="Q5" i="25"/>
  <c r="F107" i="25" l="1"/>
  <c r="W107" i="25" s="1"/>
  <c r="F17" i="25"/>
  <c r="O17" i="25" s="1"/>
  <c r="F10" i="25"/>
  <c r="W10" i="25" s="1"/>
  <c r="W104" i="25"/>
  <c r="W106" i="25"/>
  <c r="W99" i="25"/>
  <c r="W109" i="25"/>
  <c r="W105" i="25"/>
  <c r="W98" i="25"/>
  <c r="W108" i="25"/>
  <c r="W103" i="25"/>
  <c r="W102" i="25"/>
  <c r="W101" i="25"/>
  <c r="W110" i="25"/>
  <c r="W111" i="25"/>
  <c r="W100" i="25"/>
  <c r="X112" i="25"/>
  <c r="V112" i="25" s="1"/>
  <c r="W112" i="25"/>
  <c r="T105" i="25"/>
  <c r="T111" i="25"/>
  <c r="T100" i="25"/>
  <c r="T106" i="25"/>
  <c r="T99" i="25"/>
  <c r="T104" i="25"/>
  <c r="T101" i="25"/>
  <c r="T110" i="25"/>
  <c r="T109" i="25"/>
  <c r="T102" i="25"/>
  <c r="T98" i="25"/>
  <c r="T108" i="25"/>
  <c r="T103" i="25"/>
  <c r="F253" i="27" a="1"/>
  <c r="F253" i="27" s="1"/>
  <c r="F252" i="27" a="1"/>
  <c r="F252" i="27" s="1"/>
  <c r="F265" i="27" a="1"/>
  <c r="F265" i="27" s="1"/>
  <c r="F254" i="27" a="1"/>
  <c r="F254" i="27" s="1"/>
  <c r="F255" i="27" a="1"/>
  <c r="F255" i="27" s="1"/>
  <c r="F264" i="27" a="1"/>
  <c r="F264" i="27" s="1"/>
  <c r="F261" i="27" a="1"/>
  <c r="F261" i="27" s="1"/>
  <c r="F262" i="27" a="1"/>
  <c r="F262" i="27" s="1"/>
  <c r="F259" i="27" a="1"/>
  <c r="F259" i="27" s="1"/>
  <c r="F256" i="27" a="1"/>
  <c r="F256" i="27" s="1"/>
  <c r="F263" i="27" a="1"/>
  <c r="F263" i="27" s="1"/>
  <c r="T107" i="25" l="1"/>
  <c r="U107" i="25" s="1"/>
  <c r="X107" i="25" s="1"/>
  <c r="V107" i="25" s="1"/>
  <c r="T10" i="25"/>
  <c r="U10" i="25" s="1"/>
  <c r="X10" i="25" s="1"/>
  <c r="V10" i="25" s="1"/>
  <c r="W17" i="25"/>
  <c r="T17" i="25"/>
  <c r="U17" i="25" s="1"/>
  <c r="X17" i="25" s="1"/>
  <c r="V17" i="25" s="1"/>
  <c r="U105" i="25"/>
  <c r="X105" i="25" s="1"/>
  <c r="V105" i="25" s="1"/>
  <c r="U98" i="25"/>
  <c r="X98" i="25" s="1"/>
  <c r="V98" i="25" s="1"/>
  <c r="U109" i="25"/>
  <c r="X109" i="25" s="1"/>
  <c r="V109" i="25" s="1"/>
  <c r="U101" i="25"/>
  <c r="X101" i="25" s="1"/>
  <c r="V101" i="25" s="1"/>
  <c r="U104" i="25"/>
  <c r="X104" i="25" s="1"/>
  <c r="V104" i="25" s="1"/>
  <c r="U99" i="25"/>
  <c r="X99" i="25" s="1"/>
  <c r="V99" i="25" s="1"/>
  <c r="U103" i="25"/>
  <c r="X103" i="25" s="1"/>
  <c r="V103" i="25" s="1"/>
  <c r="U106" i="25"/>
  <c r="X106" i="25" s="1"/>
  <c r="V106" i="25" s="1"/>
  <c r="U102" i="25"/>
  <c r="X102" i="25" s="1"/>
  <c r="V102" i="25" s="1"/>
  <c r="U110" i="25"/>
  <c r="X110" i="25" s="1"/>
  <c r="V110" i="25" s="1"/>
  <c r="U100" i="25"/>
  <c r="X100" i="25" s="1"/>
  <c r="V100" i="25" s="1"/>
  <c r="U108" i="25"/>
  <c r="X108" i="25" s="1"/>
  <c r="V108" i="25" s="1"/>
  <c r="U111" i="25"/>
  <c r="X111" i="25" s="1"/>
  <c r="V111" i="25" s="1"/>
  <c r="E48" i="26"/>
  <c r="G24" i="25" s="1"/>
  <c r="E3" i="26"/>
  <c r="E4" i="26"/>
  <c r="E5" i="26"/>
  <c r="E6" i="26"/>
  <c r="E7" i="26"/>
  <c r="E8" i="26"/>
  <c r="E9" i="26"/>
  <c r="E10" i="26"/>
  <c r="E11" i="26"/>
  <c r="E12" i="26"/>
  <c r="E13" i="26"/>
  <c r="E14" i="26"/>
  <c r="E15" i="26"/>
  <c r="E16" i="26"/>
  <c r="E17" i="26"/>
  <c r="E18" i="26"/>
  <c r="E19" i="26"/>
  <c r="E20" i="26"/>
  <c r="E21" i="26"/>
  <c r="E22" i="26"/>
  <c r="E23" i="26"/>
  <c r="E24" i="26"/>
  <c r="E25" i="26"/>
  <c r="E26" i="26"/>
  <c r="E27" i="26"/>
  <c r="E28" i="26"/>
  <c r="G5" i="25" s="1"/>
  <c r="E29" i="26"/>
  <c r="G6" i="25" s="1"/>
  <c r="E30" i="26"/>
  <c r="G7" i="25" s="1"/>
  <c r="E31" i="26"/>
  <c r="G8" i="25" s="1"/>
  <c r="E32" i="26"/>
  <c r="G9" i="25" s="1"/>
  <c r="E33" i="26"/>
  <c r="G10" i="25" s="1"/>
  <c r="E34" i="26"/>
  <c r="G11" i="25" s="1"/>
  <c r="E35" i="26"/>
  <c r="G12" i="25" s="1"/>
  <c r="E36" i="26"/>
  <c r="G13" i="25" s="1"/>
  <c r="E37" i="26"/>
  <c r="G14" i="25" s="1"/>
  <c r="E38" i="26"/>
  <c r="G15" i="25" s="1"/>
  <c r="E39" i="26"/>
  <c r="G16" i="25" s="1"/>
  <c r="E40" i="26"/>
  <c r="E41" i="26"/>
  <c r="G17" i="25" s="1"/>
  <c r="E42" i="26"/>
  <c r="G18" i="25" s="1"/>
  <c r="E43" i="26"/>
  <c r="G19" i="25" s="1"/>
  <c r="E44" i="26"/>
  <c r="G20" i="25" s="1"/>
  <c r="E45" i="26"/>
  <c r="G21" i="25" s="1"/>
  <c r="E46" i="26"/>
  <c r="G22" i="25" s="1"/>
  <c r="E47" i="26"/>
  <c r="G23" i="25" s="1"/>
  <c r="E49" i="26"/>
  <c r="G25" i="25" s="1"/>
  <c r="E50" i="26"/>
  <c r="G26" i="25" s="1"/>
  <c r="E51" i="26"/>
  <c r="G27" i="25" s="1"/>
  <c r="E52" i="26"/>
  <c r="G28" i="25" s="1"/>
  <c r="E53" i="26"/>
  <c r="G29" i="25" s="1"/>
  <c r="E54" i="26"/>
  <c r="G30" i="25" s="1"/>
  <c r="E55" i="26"/>
  <c r="G31" i="25" s="1"/>
  <c r="E56" i="26"/>
  <c r="G32" i="25" s="1"/>
  <c r="E57" i="26"/>
  <c r="G33" i="25" s="1"/>
  <c r="E58" i="26"/>
  <c r="G34" i="25" s="1"/>
  <c r="E59" i="26"/>
  <c r="E60" i="26"/>
  <c r="E61" i="26"/>
  <c r="E62" i="26"/>
  <c r="E63" i="26"/>
  <c r="E64" i="26"/>
  <c r="E65" i="26"/>
  <c r="G38" i="25" s="1"/>
  <c r="E66" i="26"/>
  <c r="G39" i="25" s="1"/>
  <c r="E67" i="26"/>
  <c r="E68" i="26"/>
  <c r="G40" i="25" s="1"/>
  <c r="E69" i="26"/>
  <c r="G41" i="25" s="1"/>
  <c r="E70" i="26"/>
  <c r="E71" i="26"/>
  <c r="G42" i="25" s="1"/>
  <c r="E72" i="26"/>
  <c r="G43" i="25" s="1"/>
  <c r="E73" i="26"/>
  <c r="E74" i="26"/>
  <c r="G44" i="25" s="1"/>
  <c r="E75" i="26"/>
  <c r="G45" i="25" s="1"/>
  <c r="E76" i="26"/>
  <c r="E77" i="26"/>
  <c r="E78" i="26"/>
  <c r="G47" i="25" s="1"/>
  <c r="E79" i="26"/>
  <c r="E80" i="26"/>
  <c r="G49" i="25" s="1"/>
  <c r="E81" i="26"/>
  <c r="G50" i="25" s="1"/>
  <c r="E82" i="26"/>
  <c r="G51" i="25" s="1"/>
  <c r="E83" i="26"/>
  <c r="G52" i="25" s="1"/>
  <c r="E84" i="26"/>
  <c r="E85" i="26"/>
  <c r="E86" i="26"/>
  <c r="G54" i="25" s="1"/>
  <c r="E87" i="26"/>
  <c r="G55" i="25" s="1"/>
  <c r="E88" i="26"/>
  <c r="E89" i="26"/>
  <c r="E90" i="26"/>
  <c r="E91" i="26"/>
  <c r="E92" i="26"/>
  <c r="E93" i="26"/>
  <c r="E94" i="26"/>
  <c r="E95" i="26"/>
  <c r="E96" i="26"/>
  <c r="E97" i="26"/>
  <c r="E98" i="26"/>
  <c r="E100" i="26"/>
  <c r="E101" i="26"/>
  <c r="E103" i="26"/>
  <c r="E104" i="26"/>
  <c r="E105" i="26"/>
  <c r="E106" i="26"/>
  <c r="E107" i="26"/>
  <c r="E108" i="26"/>
  <c r="E109" i="26"/>
  <c r="E110" i="26"/>
  <c r="E111" i="26"/>
  <c r="E112" i="26"/>
  <c r="E113" i="26"/>
  <c r="E114" i="26"/>
  <c r="E115" i="26"/>
  <c r="E116" i="26"/>
  <c r="E117" i="26"/>
  <c r="E118" i="26"/>
  <c r="E119" i="26"/>
  <c r="E120" i="26"/>
  <c r="E121" i="26"/>
  <c r="E122" i="26"/>
  <c r="E123" i="26"/>
  <c r="E124" i="26"/>
  <c r="E125" i="26"/>
  <c r="E126" i="26"/>
  <c r="E128" i="26"/>
  <c r="E129" i="26"/>
  <c r="E131" i="26"/>
  <c r="E132" i="26"/>
  <c r="E133" i="26"/>
  <c r="E134" i="26"/>
  <c r="E135" i="26"/>
  <c r="E136" i="26"/>
  <c r="E137" i="26"/>
  <c r="E138" i="26"/>
  <c r="E139" i="26"/>
  <c r="E140" i="26"/>
  <c r="E141" i="26"/>
  <c r="E142" i="26"/>
  <c r="E143" i="26"/>
  <c r="E144" i="26"/>
  <c r="E145" i="26"/>
  <c r="E146" i="26"/>
  <c r="E147" i="26"/>
  <c r="E148" i="26"/>
  <c r="E149" i="26"/>
  <c r="E150" i="26"/>
  <c r="E151" i="26"/>
  <c r="E152" i="26"/>
  <c r="E153" i="26"/>
  <c r="E154" i="26"/>
  <c r="E156" i="26"/>
  <c r="E157" i="26"/>
  <c r="E159" i="26"/>
  <c r="E160" i="26"/>
  <c r="E161" i="26"/>
  <c r="E162" i="26"/>
  <c r="E163" i="26"/>
  <c r="E164" i="26"/>
  <c r="E165" i="26"/>
  <c r="E166" i="26"/>
  <c r="E167" i="26"/>
  <c r="E168" i="26"/>
  <c r="E169" i="26"/>
  <c r="E170" i="26"/>
  <c r="E171" i="26"/>
  <c r="E172" i="26"/>
  <c r="E191" i="26"/>
  <c r="G112" i="25" s="1"/>
  <c r="E192" i="26"/>
  <c r="G113" i="25" s="1"/>
  <c r="E193" i="26"/>
  <c r="G114" i="25" s="1"/>
  <c r="E194" i="26"/>
  <c r="G115" i="25" s="1"/>
  <c r="E195" i="26"/>
  <c r="G116" i="25" s="1"/>
  <c r="E196" i="26"/>
  <c r="G117" i="25" s="1"/>
  <c r="E197" i="26"/>
  <c r="G118" i="25" s="1"/>
  <c r="E198" i="26"/>
  <c r="G119" i="25" s="1"/>
  <c r="E199" i="26"/>
  <c r="E200" i="26"/>
  <c r="E201" i="26"/>
  <c r="E202" i="26"/>
  <c r="E203" i="26"/>
  <c r="G120" i="25" s="1"/>
  <c r="E204" i="26"/>
  <c r="G121" i="25" s="1"/>
  <c r="E205" i="26"/>
  <c r="G122" i="25" s="1"/>
  <c r="E206" i="26"/>
  <c r="G123" i="25" s="1"/>
  <c r="E207" i="26"/>
  <c r="G124" i="25" s="1"/>
  <c r="E208" i="26"/>
  <c r="G125" i="25" s="1"/>
  <c r="E209" i="26"/>
  <c r="G126" i="25" s="1"/>
  <c r="E210" i="26"/>
  <c r="G127" i="25" s="1"/>
  <c r="E211" i="26"/>
  <c r="G128" i="25" s="1"/>
  <c r="E212" i="26"/>
  <c r="G129" i="25" s="1"/>
  <c r="E213" i="26"/>
  <c r="G130" i="25" s="1"/>
  <c r="E214" i="26"/>
  <c r="G131" i="25" s="1"/>
  <c r="E215" i="26"/>
  <c r="G132" i="25" s="1"/>
  <c r="E216" i="26"/>
  <c r="E217" i="26"/>
  <c r="E218" i="26"/>
  <c r="E219" i="26"/>
  <c r="G133" i="25" s="1"/>
  <c r="E220" i="26"/>
  <c r="G134" i="25" s="1"/>
  <c r="E221" i="26"/>
  <c r="G135" i="25" s="1"/>
  <c r="E222" i="26"/>
  <c r="G136" i="25" s="1"/>
  <c r="E223" i="26"/>
  <c r="G137" i="25" s="1"/>
  <c r="E224" i="26"/>
  <c r="G138" i="25" s="1"/>
  <c r="E225" i="26"/>
  <c r="G139" i="25" s="1"/>
  <c r="E226" i="26"/>
  <c r="G140" i="25" s="1"/>
  <c r="E227" i="26"/>
  <c r="G141" i="25" s="1"/>
  <c r="E228" i="26"/>
  <c r="G142" i="25" s="1"/>
  <c r="E229" i="26"/>
  <c r="G143" i="25" s="1"/>
  <c r="E230" i="26"/>
  <c r="G144" i="25" s="1"/>
  <c r="E231" i="26"/>
  <c r="G145" i="25" s="1"/>
  <c r="E232" i="26"/>
  <c r="G146" i="25" s="1"/>
  <c r="E233" i="26"/>
  <c r="G147" i="25" s="1"/>
  <c r="E234" i="26"/>
  <c r="G148" i="25" s="1"/>
  <c r="E235" i="26"/>
  <c r="G149" i="25" s="1"/>
  <c r="E236" i="26"/>
  <c r="G150" i="25" s="1"/>
  <c r="E237" i="26"/>
  <c r="G151" i="25" s="1"/>
  <c r="E238" i="26"/>
  <c r="G152" i="25" s="1"/>
  <c r="E239" i="26"/>
  <c r="G153" i="25" s="1"/>
  <c r="E240" i="26"/>
  <c r="G154" i="25" s="1"/>
  <c r="E241" i="26"/>
  <c r="G155" i="25" s="1"/>
  <c r="E242" i="26"/>
  <c r="G156" i="25" s="1"/>
  <c r="E243" i="26"/>
  <c r="G157" i="25" s="1"/>
  <c r="E244" i="26"/>
  <c r="G158" i="25" s="1"/>
  <c r="E245" i="26"/>
  <c r="G159" i="25" s="1"/>
  <c r="E246" i="26"/>
  <c r="G160" i="25" s="1"/>
  <c r="E247" i="26"/>
  <c r="G161" i="25" s="1"/>
  <c r="E248" i="26"/>
  <c r="G162" i="25" s="1"/>
  <c r="E249" i="26"/>
  <c r="G163" i="25" s="1"/>
  <c r="E250" i="26"/>
  <c r="G164" i="25" s="1"/>
  <c r="E251" i="26"/>
  <c r="G165" i="25" s="1"/>
  <c r="E252" i="26"/>
  <c r="G166" i="25" s="1"/>
  <c r="E253" i="26"/>
  <c r="G167" i="25" s="1"/>
  <c r="E254" i="26"/>
  <c r="G168" i="25" s="1"/>
  <c r="E255" i="26"/>
  <c r="G169" i="25" s="1"/>
  <c r="E256" i="26"/>
  <c r="G170" i="25" s="1"/>
  <c r="E257" i="26"/>
  <c r="G171" i="25" s="1"/>
  <c r="E258" i="26"/>
  <c r="G172" i="25" s="1"/>
  <c r="E259" i="26"/>
  <c r="E261" i="26"/>
  <c r="G173" i="25" s="1"/>
  <c r="E262" i="26"/>
  <c r="G174" i="25" s="1"/>
  <c r="E263" i="26"/>
  <c r="G175" i="25" s="1"/>
  <c r="E264" i="26"/>
  <c r="G176" i="25" s="1"/>
  <c r="E265" i="26"/>
  <c r="G177" i="25" s="1"/>
  <c r="E2" i="26"/>
  <c r="D35" i="26"/>
  <c r="F12" i="25" s="1"/>
  <c r="D36" i="26"/>
  <c r="F13" i="25" s="1"/>
  <c r="D37" i="26"/>
  <c r="F14" i="25" s="1"/>
  <c r="D38" i="26"/>
  <c r="F15" i="25" s="1"/>
  <c r="A35" i="26"/>
  <c r="A36" i="26"/>
  <c r="D240" i="26"/>
  <c r="F154" i="25" s="1"/>
  <c r="D241" i="26"/>
  <c r="F155" i="25" s="1"/>
  <c r="D242" i="26"/>
  <c r="F156" i="25" s="1"/>
  <c r="A240" i="26"/>
  <c r="A241" i="26"/>
  <c r="A242" i="26"/>
  <c r="D246" i="26"/>
  <c r="F160" i="25" s="1"/>
  <c r="D247" i="26"/>
  <c r="F161" i="25" s="1"/>
  <c r="D248" i="26"/>
  <c r="F162" i="25" s="1"/>
  <c r="A246" i="26"/>
  <c r="A247" i="26"/>
  <c r="A248" i="26"/>
  <c r="D3" i="26"/>
  <c r="G3" i="28" s="1"/>
  <c r="G181" i="28" s="1" a="1"/>
  <c r="G181" i="28" s="1"/>
  <c r="D4" i="26"/>
  <c r="D5" i="26"/>
  <c r="D6" i="26"/>
  <c r="D7" i="26"/>
  <c r="D8" i="26"/>
  <c r="D9" i="26"/>
  <c r="D10" i="26"/>
  <c r="D11" i="26"/>
  <c r="D12" i="26"/>
  <c r="D13" i="26"/>
  <c r="D14" i="26"/>
  <c r="D15" i="26"/>
  <c r="D16" i="26"/>
  <c r="D17" i="26"/>
  <c r="D18" i="26"/>
  <c r="D19" i="26"/>
  <c r="D20" i="26"/>
  <c r="D21" i="26"/>
  <c r="D22" i="26"/>
  <c r="D23" i="26"/>
  <c r="D24" i="26"/>
  <c r="D25" i="26"/>
  <c r="D26" i="26"/>
  <c r="D27" i="26"/>
  <c r="D28" i="26"/>
  <c r="F5" i="25" s="1"/>
  <c r="D29" i="26"/>
  <c r="F6" i="25" s="1"/>
  <c r="D30" i="26"/>
  <c r="F7" i="25" s="1"/>
  <c r="D31" i="26"/>
  <c r="F8" i="25" s="1"/>
  <c r="D32" i="26"/>
  <c r="F9" i="25" s="1"/>
  <c r="D34" i="26"/>
  <c r="F11" i="25" s="1"/>
  <c r="D39" i="26"/>
  <c r="F16" i="25" s="1"/>
  <c r="D40" i="26"/>
  <c r="D42" i="26"/>
  <c r="D43" i="26"/>
  <c r="D44" i="26"/>
  <c r="D45" i="26"/>
  <c r="D46" i="26"/>
  <c r="O23" i="25"/>
  <c r="D48" i="26"/>
  <c r="D49" i="26"/>
  <c r="D50" i="26"/>
  <c r="D51" i="26"/>
  <c r="D52" i="26"/>
  <c r="D53" i="26"/>
  <c r="D54" i="26"/>
  <c r="D55" i="26"/>
  <c r="D56" i="26"/>
  <c r="D57" i="26"/>
  <c r="D58" i="26"/>
  <c r="D59" i="26"/>
  <c r="D60" i="26"/>
  <c r="D61" i="26"/>
  <c r="D62" i="26"/>
  <c r="D63" i="26"/>
  <c r="D64" i="26"/>
  <c r="D65" i="26"/>
  <c r="F38" i="25" s="1"/>
  <c r="D66" i="26"/>
  <c r="F39" i="25" s="1"/>
  <c r="D67" i="26"/>
  <c r="D68" i="26"/>
  <c r="D69" i="26"/>
  <c r="D70" i="26"/>
  <c r="D71" i="26"/>
  <c r="D72" i="26"/>
  <c r="D73" i="26"/>
  <c r="D74" i="26"/>
  <c r="D75" i="26"/>
  <c r="D76" i="26"/>
  <c r="D77" i="26"/>
  <c r="D78" i="26"/>
  <c r="D79" i="26"/>
  <c r="D80" i="26"/>
  <c r="D81" i="26"/>
  <c r="D82" i="26"/>
  <c r="D83" i="26"/>
  <c r="D84" i="26"/>
  <c r="D85" i="26"/>
  <c r="D86" i="26"/>
  <c r="D87" i="26"/>
  <c r="D88" i="26"/>
  <c r="D89" i="26"/>
  <c r="D90" i="26"/>
  <c r="D91" i="26"/>
  <c r="D92" i="26"/>
  <c r="D93" i="26"/>
  <c r="D94" i="26"/>
  <c r="D95" i="26"/>
  <c r="D96" i="26"/>
  <c r="D97" i="26"/>
  <c r="D98" i="26"/>
  <c r="D100" i="26"/>
  <c r="D101" i="26"/>
  <c r="D103" i="26"/>
  <c r="D104" i="26"/>
  <c r="D105" i="26"/>
  <c r="D106" i="26"/>
  <c r="D107" i="26"/>
  <c r="D108" i="26"/>
  <c r="D109" i="26"/>
  <c r="D110" i="26"/>
  <c r="D111" i="26"/>
  <c r="D112" i="26"/>
  <c r="D113" i="26"/>
  <c r="D114" i="26"/>
  <c r="D115" i="26"/>
  <c r="D116" i="26"/>
  <c r="D117" i="26"/>
  <c r="D118" i="26"/>
  <c r="D119" i="26"/>
  <c r="D120" i="26"/>
  <c r="D121" i="26"/>
  <c r="D122" i="26"/>
  <c r="D123" i="26"/>
  <c r="D124" i="26"/>
  <c r="D125" i="26"/>
  <c r="D126" i="26"/>
  <c r="D128" i="26"/>
  <c r="D129" i="26"/>
  <c r="D131" i="26"/>
  <c r="D132" i="26"/>
  <c r="D133" i="26"/>
  <c r="D134" i="26"/>
  <c r="D135" i="26"/>
  <c r="D136" i="26"/>
  <c r="D137" i="26"/>
  <c r="D138" i="26"/>
  <c r="D139" i="26"/>
  <c r="D140" i="26"/>
  <c r="D141" i="26"/>
  <c r="D142" i="26"/>
  <c r="D143" i="26"/>
  <c r="D144" i="26"/>
  <c r="D145" i="26"/>
  <c r="D146" i="26"/>
  <c r="D147" i="26"/>
  <c r="D148" i="26"/>
  <c r="D149" i="26"/>
  <c r="D150" i="26"/>
  <c r="D151" i="26"/>
  <c r="D152" i="26"/>
  <c r="D153" i="26"/>
  <c r="D154" i="26"/>
  <c r="D156" i="26"/>
  <c r="D157" i="26"/>
  <c r="D159" i="26"/>
  <c r="D160" i="26"/>
  <c r="D161" i="26"/>
  <c r="D162" i="26"/>
  <c r="D163" i="26"/>
  <c r="D164" i="26"/>
  <c r="D165" i="26"/>
  <c r="D166" i="26"/>
  <c r="D167" i="26"/>
  <c r="D168" i="26"/>
  <c r="D169" i="26"/>
  <c r="D170" i="26"/>
  <c r="D171" i="26"/>
  <c r="D172" i="26"/>
  <c r="D192" i="26"/>
  <c r="F113" i="25" s="1"/>
  <c r="D193" i="26"/>
  <c r="F114" i="25" s="1"/>
  <c r="D194" i="26"/>
  <c r="D195" i="26"/>
  <c r="D196" i="26"/>
  <c r="D197" i="26"/>
  <c r="D198" i="26"/>
  <c r="D199" i="26"/>
  <c r="D200" i="26"/>
  <c r="D201" i="26"/>
  <c r="D202" i="26"/>
  <c r="D203" i="26"/>
  <c r="F120" i="25" s="1"/>
  <c r="D204" i="26"/>
  <c r="F121" i="25" s="1"/>
  <c r="D205" i="26"/>
  <c r="F122" i="25" s="1"/>
  <c r="D206" i="26"/>
  <c r="F123" i="25" s="1"/>
  <c r="D207" i="26"/>
  <c r="F124" i="25" s="1"/>
  <c r="D208" i="26"/>
  <c r="D209" i="26"/>
  <c r="D210" i="26"/>
  <c r="F127" i="25" s="1"/>
  <c r="D211" i="26"/>
  <c r="F128" i="25" s="1"/>
  <c r="D212" i="26"/>
  <c r="F129" i="25" s="1"/>
  <c r="D213" i="26"/>
  <c r="F130" i="25" s="1"/>
  <c r="D214" i="26"/>
  <c r="D215" i="26"/>
  <c r="F132" i="25" s="1"/>
  <c r="D216" i="26"/>
  <c r="D217" i="26"/>
  <c r="D218" i="26"/>
  <c r="D219" i="26"/>
  <c r="F133" i="25" s="1"/>
  <c r="D220" i="26"/>
  <c r="F134" i="25" s="1"/>
  <c r="D221" i="26"/>
  <c r="F135" i="25" s="1"/>
  <c r="D222" i="26"/>
  <c r="F136" i="25" s="1"/>
  <c r="D223" i="26"/>
  <c r="F137" i="25" s="1"/>
  <c r="D224" i="26"/>
  <c r="F138" i="25" s="1"/>
  <c r="D225" i="26"/>
  <c r="F139" i="25" s="1"/>
  <c r="D226" i="26"/>
  <c r="F140" i="25" s="1"/>
  <c r="D227" i="26"/>
  <c r="F141" i="25" s="1"/>
  <c r="D228" i="26"/>
  <c r="F142" i="25" s="1"/>
  <c r="D229" i="26"/>
  <c r="F143" i="25" s="1"/>
  <c r="D230" i="26"/>
  <c r="F144" i="25" s="1"/>
  <c r="D231" i="26"/>
  <c r="F145" i="25" s="1"/>
  <c r="D232" i="26"/>
  <c r="F146" i="25" s="1"/>
  <c r="D233" i="26"/>
  <c r="F147" i="25" s="1"/>
  <c r="D234" i="26"/>
  <c r="F148" i="25" s="1"/>
  <c r="D235" i="26"/>
  <c r="F149" i="25" s="1"/>
  <c r="D236" i="26"/>
  <c r="F150" i="25" s="1"/>
  <c r="D237" i="26"/>
  <c r="F151" i="25" s="1"/>
  <c r="D238" i="26"/>
  <c r="F152" i="25" s="1"/>
  <c r="D239" i="26"/>
  <c r="F153" i="25" s="1"/>
  <c r="D243" i="26"/>
  <c r="F157" i="25" s="1"/>
  <c r="D244" i="26"/>
  <c r="F158" i="25" s="1"/>
  <c r="D245" i="26"/>
  <c r="F159" i="25" s="1"/>
  <c r="D249" i="26"/>
  <c r="F163" i="25" s="1"/>
  <c r="D250" i="26"/>
  <c r="F164" i="25" s="1"/>
  <c r="D251" i="26"/>
  <c r="F165" i="25" s="1"/>
  <c r="D252" i="26"/>
  <c r="F166" i="25" s="1"/>
  <c r="D253" i="26"/>
  <c r="F167" i="25" s="1"/>
  <c r="D254" i="26"/>
  <c r="F168" i="25" s="1"/>
  <c r="D255" i="26"/>
  <c r="D256" i="26"/>
  <c r="F170" i="25" s="1"/>
  <c r="D257" i="26"/>
  <c r="F171" i="25" s="1"/>
  <c r="D258" i="26"/>
  <c r="F172" i="25" s="1"/>
  <c r="D259" i="26"/>
  <c r="D260" i="26"/>
  <c r="Q173" i="25" s="1"/>
  <c r="D261" i="26"/>
  <c r="F173" i="25" s="1"/>
  <c r="D262" i="26"/>
  <c r="F174" i="25" s="1"/>
  <c r="D263" i="26"/>
  <c r="F175" i="25" s="1"/>
  <c r="D264" i="26"/>
  <c r="F176" i="25" s="1"/>
  <c r="A209" i="26"/>
  <c r="A208" i="26"/>
  <c r="A190" i="26"/>
  <c r="A189" i="26"/>
  <c r="A181" i="26"/>
  <c r="A180" i="26"/>
  <c r="A27" i="26"/>
  <c r="A72" i="26"/>
  <c r="A71" i="26"/>
  <c r="A69" i="26"/>
  <c r="A68" i="26"/>
  <c r="A49" i="26"/>
  <c r="A66" i="26"/>
  <c r="A65" i="26"/>
  <c r="A56" i="26"/>
  <c r="A55" i="26"/>
  <c r="A51" i="26"/>
  <c r="A52" i="26"/>
  <c r="A3" i="26"/>
  <c r="A4" i="26"/>
  <c r="A5" i="26"/>
  <c r="A6" i="26"/>
  <c r="A7" i="26"/>
  <c r="A8" i="26"/>
  <c r="A9" i="26"/>
  <c r="A10" i="26"/>
  <c r="A11" i="26"/>
  <c r="A12" i="26"/>
  <c r="A13" i="26"/>
  <c r="A14" i="26"/>
  <c r="A15" i="26"/>
  <c r="A16" i="26"/>
  <c r="A17" i="26"/>
  <c r="A18" i="26"/>
  <c r="A19" i="26"/>
  <c r="A20" i="26"/>
  <c r="A21" i="26"/>
  <c r="A22" i="26"/>
  <c r="A23" i="26"/>
  <c r="A24" i="26"/>
  <c r="A25" i="26"/>
  <c r="A26" i="26"/>
  <c r="A28" i="26"/>
  <c r="A29" i="26"/>
  <c r="A30" i="26"/>
  <c r="A31" i="26"/>
  <c r="A32" i="26"/>
  <c r="A33" i="26"/>
  <c r="A34" i="26"/>
  <c r="A37" i="26"/>
  <c r="A38" i="26"/>
  <c r="A39" i="26"/>
  <c r="A40" i="26"/>
  <c r="A41" i="26"/>
  <c r="A42" i="26"/>
  <c r="A43" i="26"/>
  <c r="A44" i="26"/>
  <c r="A45" i="26"/>
  <c r="A46" i="26"/>
  <c r="A47" i="26"/>
  <c r="A48" i="26"/>
  <c r="A50" i="26"/>
  <c r="A53" i="26"/>
  <c r="A54" i="26"/>
  <c r="A57" i="26"/>
  <c r="A58" i="26"/>
  <c r="A59" i="26"/>
  <c r="A60" i="26"/>
  <c r="A61" i="26"/>
  <c r="A62" i="26"/>
  <c r="A63" i="26"/>
  <c r="A64" i="26"/>
  <c r="A67" i="26"/>
  <c r="A70"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108" i="26"/>
  <c r="A109" i="26"/>
  <c r="A110" i="26"/>
  <c r="A111" i="26"/>
  <c r="A112" i="26"/>
  <c r="A113" i="26"/>
  <c r="A114" i="26"/>
  <c r="A115" i="26"/>
  <c r="A116" i="26"/>
  <c r="A117" i="26"/>
  <c r="A118" i="26"/>
  <c r="A119" i="26"/>
  <c r="A120" i="26"/>
  <c r="A121" i="26"/>
  <c r="A122" i="26"/>
  <c r="A123" i="26"/>
  <c r="A124" i="26"/>
  <c r="A125" i="26"/>
  <c r="A126" i="26"/>
  <c r="A127" i="26"/>
  <c r="A128" i="26"/>
  <c r="A129" i="26"/>
  <c r="A130" i="26"/>
  <c r="A131" i="26"/>
  <c r="A132" i="26"/>
  <c r="A133" i="26"/>
  <c r="A134" i="26"/>
  <c r="A135" i="26"/>
  <c r="A136" i="26"/>
  <c r="A137" i="26"/>
  <c r="A138" i="26"/>
  <c r="A139" i="26"/>
  <c r="A140" i="26"/>
  <c r="A141" i="26"/>
  <c r="A142" i="26"/>
  <c r="A143" i="26"/>
  <c r="A144" i="26"/>
  <c r="A145" i="26"/>
  <c r="A146" i="26"/>
  <c r="A147" i="26"/>
  <c r="A148" i="26"/>
  <c r="A149" i="26"/>
  <c r="A150" i="26"/>
  <c r="A151" i="26"/>
  <c r="A152" i="26"/>
  <c r="A153" i="26"/>
  <c r="A154" i="26"/>
  <c r="A155" i="26"/>
  <c r="A156" i="26"/>
  <c r="A157" i="26"/>
  <c r="A158" i="26"/>
  <c r="A159" i="26"/>
  <c r="A160" i="26"/>
  <c r="A161" i="26"/>
  <c r="A162" i="26"/>
  <c r="A163" i="26"/>
  <c r="A164" i="26"/>
  <c r="A165" i="26"/>
  <c r="A166" i="26"/>
  <c r="A167" i="26"/>
  <c r="A168" i="26"/>
  <c r="A169" i="26"/>
  <c r="A170" i="26"/>
  <c r="A171" i="26"/>
  <c r="A172" i="26"/>
  <c r="A173" i="26"/>
  <c r="A174" i="26"/>
  <c r="A175" i="26"/>
  <c r="A176" i="26"/>
  <c r="A177" i="26"/>
  <c r="A178" i="26"/>
  <c r="A179" i="26"/>
  <c r="A182" i="26"/>
  <c r="A183" i="26"/>
  <c r="A184" i="26"/>
  <c r="A185" i="26"/>
  <c r="A186" i="26"/>
  <c r="A187" i="26"/>
  <c r="A188" i="26"/>
  <c r="A191" i="26"/>
  <c r="A192" i="26"/>
  <c r="A193" i="26"/>
  <c r="A194" i="26"/>
  <c r="A195" i="26"/>
  <c r="A196" i="26"/>
  <c r="A197" i="26"/>
  <c r="A198" i="26"/>
  <c r="A199" i="26"/>
  <c r="A200" i="26"/>
  <c r="A201" i="26"/>
  <c r="A202" i="26"/>
  <c r="A203" i="26"/>
  <c r="A204" i="26"/>
  <c r="A205" i="26"/>
  <c r="A206" i="26"/>
  <c r="A207" i="26"/>
  <c r="A210" i="26"/>
  <c r="A211" i="26"/>
  <c r="A212" i="26"/>
  <c r="A213" i="26"/>
  <c r="A214" i="26"/>
  <c r="A215" i="26"/>
  <c r="A216" i="26"/>
  <c r="A217" i="26"/>
  <c r="A218" i="26"/>
  <c r="A219" i="26"/>
  <c r="A220" i="26"/>
  <c r="A221" i="26"/>
  <c r="A222" i="26"/>
  <c r="A223" i="26"/>
  <c r="A224" i="26"/>
  <c r="A225" i="26"/>
  <c r="A226" i="26"/>
  <c r="A227" i="26"/>
  <c r="A228" i="26"/>
  <c r="A229" i="26"/>
  <c r="A230" i="26"/>
  <c r="A231" i="26"/>
  <c r="A232" i="26"/>
  <c r="A233" i="26"/>
  <c r="A234" i="26"/>
  <c r="A235" i="26"/>
  <c r="A236" i="26"/>
  <c r="A237" i="26"/>
  <c r="A238" i="26"/>
  <c r="A239" i="26"/>
  <c r="A243" i="26"/>
  <c r="A244" i="26"/>
  <c r="A245" i="26"/>
  <c r="A249" i="26"/>
  <c r="A250" i="26"/>
  <c r="A251" i="26"/>
  <c r="A252" i="26"/>
  <c r="A253" i="26"/>
  <c r="A254" i="26"/>
  <c r="A255" i="26"/>
  <c r="A256" i="26"/>
  <c r="A257" i="26"/>
  <c r="A258" i="26"/>
  <c r="A259" i="26"/>
  <c r="A260" i="26"/>
  <c r="A261" i="26"/>
  <c r="A262" i="26"/>
  <c r="A263" i="26"/>
  <c r="A264" i="26"/>
  <c r="A265" i="26"/>
  <c r="Q168" i="25"/>
  <c r="D88" i="23"/>
  <c r="Q133" i="25" s="1"/>
  <c r="Q134" i="25" s="1"/>
  <c r="E187" i="24"/>
  <c r="E190" i="24" s="1"/>
  <c r="D167" i="24"/>
  <c r="D165" i="24"/>
  <c r="D159" i="24"/>
  <c r="F152" i="24"/>
  <c r="F151" i="24"/>
  <c r="F150" i="24"/>
  <c r="F149" i="24"/>
  <c r="F148" i="24"/>
  <c r="D125" i="24"/>
  <c r="D27" i="23" s="1"/>
  <c r="Q21" i="25" s="1"/>
  <c r="F118" i="24"/>
  <c r="E118" i="24"/>
  <c r="F117" i="24"/>
  <c r="E117" i="24"/>
  <c r="F116" i="24"/>
  <c r="E116" i="24"/>
  <c r="F115" i="24"/>
  <c r="E115" i="24"/>
  <c r="D112" i="24"/>
  <c r="D35" i="23" s="1"/>
  <c r="Q29" i="25" s="1"/>
  <c r="D102" i="24"/>
  <c r="D103" i="23" s="1"/>
  <c r="Q132" i="25" s="1"/>
  <c r="D101" i="24"/>
  <c r="D102" i="23" s="1"/>
  <c r="Q131" i="25" s="1"/>
  <c r="D100" i="24"/>
  <c r="D101" i="23" s="1"/>
  <c r="Q130" i="25" s="1"/>
  <c r="D99" i="24"/>
  <c r="D100" i="23" s="1"/>
  <c r="Q129" i="25" s="1"/>
  <c r="D98" i="24"/>
  <c r="D99" i="23" s="1"/>
  <c r="Q128" i="25" s="1"/>
  <c r="F85" i="24"/>
  <c r="F84" i="24"/>
  <c r="F83" i="24"/>
  <c r="F82" i="24"/>
  <c r="F81" i="24"/>
  <c r="F80" i="24"/>
  <c r="D75" i="24"/>
  <c r="D73" i="24"/>
  <c r="D68" i="24"/>
  <c r="D81" i="23" s="1"/>
  <c r="Q124" i="25" s="1"/>
  <c r="D62" i="24"/>
  <c r="D86" i="23" s="1"/>
  <c r="Q127" i="25" s="1"/>
  <c r="F54" i="24"/>
  <c r="F53" i="24"/>
  <c r="F52" i="24"/>
  <c r="D48" i="24"/>
  <c r="D80" i="23" s="1"/>
  <c r="Q123" i="25" s="1"/>
  <c r="J39" i="24"/>
  <c r="D84" i="23" s="1"/>
  <c r="Q126" i="25" s="1"/>
  <c r="D39" i="24"/>
  <c r="D85" i="23" s="1"/>
  <c r="Q125" i="25" s="1"/>
  <c r="I37" i="24"/>
  <c r="I36" i="24"/>
  <c r="I35" i="24"/>
  <c r="D29" i="24"/>
  <c r="D19" i="23" s="1"/>
  <c r="D24" i="24"/>
  <c r="D18" i="23" s="1"/>
  <c r="D18" i="24"/>
  <c r="D17" i="23" s="1"/>
  <c r="D10" i="24"/>
  <c r="D107" i="23" s="1"/>
  <c r="Q170" i="25" s="1"/>
  <c r="D30" i="23"/>
  <c r="Q24" i="25" s="1"/>
  <c r="D98" i="23"/>
  <c r="Q151" i="25" s="1"/>
  <c r="Q152" i="25" s="1"/>
  <c r="D97" i="23"/>
  <c r="Q148" i="25" s="1"/>
  <c r="Q149" i="25" s="1"/>
  <c r="D96" i="23"/>
  <c r="Q163" i="25" s="1"/>
  <c r="D92" i="23"/>
  <c r="D90" i="24" s="1"/>
  <c r="D90" i="23"/>
  <c r="D39" i="23"/>
  <c r="Q34" i="25" s="1"/>
  <c r="D24" i="23"/>
  <c r="Q20" i="25" s="1"/>
  <c r="Q160" i="25" l="1"/>
  <c r="Q161" i="25" s="1"/>
  <c r="D91" i="24"/>
  <c r="G180" i="28" a="1"/>
  <c r="G180" i="28" s="1"/>
  <c r="G179" i="28" a="1"/>
  <c r="G179" i="28" s="1"/>
  <c r="G178" i="28" a="1"/>
  <c r="G178" i="28" s="1"/>
  <c r="G177" i="28" a="1"/>
  <c r="G177" i="28" s="1"/>
  <c r="G182" i="28" a="1"/>
  <c r="G182" i="28" s="1"/>
  <c r="G239" i="28" a="1"/>
  <c r="G239" i="28" s="1"/>
  <c r="G125" i="28" a="1"/>
  <c r="G125" i="28" s="1"/>
  <c r="G238" i="28" a="1"/>
  <c r="G238" i="28" s="1"/>
  <c r="G121" i="28" a="1"/>
  <c r="G121" i="28" s="1"/>
  <c r="G237" i="28" a="1"/>
  <c r="G237" i="28" s="1"/>
  <c r="G122" i="28" a="1"/>
  <c r="G122" i="28" s="1"/>
  <c r="G236" i="28" a="1"/>
  <c r="G236" i="28" s="1"/>
  <c r="G123" i="28" a="1"/>
  <c r="G123" i="28" s="1"/>
  <c r="G235" i="28" a="1"/>
  <c r="G235" i="28" s="1"/>
  <c r="G124" i="28" a="1"/>
  <c r="G124" i="28" s="1"/>
  <c r="G234" i="28" a="1"/>
  <c r="G234" i="28" s="1"/>
  <c r="G120" i="28" a="1"/>
  <c r="G120" i="28" s="1"/>
  <c r="G233" i="28" a="1"/>
  <c r="G233" i="28" s="1"/>
  <c r="G176" i="28" a="1"/>
  <c r="G176" i="28" s="1"/>
  <c r="G117" i="28" a="1"/>
  <c r="G117" i="28" s="1"/>
  <c r="G232" i="28" a="1"/>
  <c r="G232" i="28" s="1"/>
  <c r="G175" i="28" a="1"/>
  <c r="G175" i="28" s="1"/>
  <c r="G118" i="28" a="1"/>
  <c r="G118" i="28" s="1"/>
  <c r="G126" i="28" a="1"/>
  <c r="G126" i="28" s="1"/>
  <c r="G127" i="28" s="1"/>
  <c r="G231" i="28" a="1"/>
  <c r="G231" i="28" s="1"/>
  <c r="G174" i="28" a="1"/>
  <c r="G174" i="28" s="1"/>
  <c r="G119" i="28" a="1"/>
  <c r="G119" i="28" s="1"/>
  <c r="G230" i="28" a="1"/>
  <c r="G230" i="28" s="1"/>
  <c r="G173" i="28" a="1"/>
  <c r="G173" i="28" s="1"/>
  <c r="G116" i="28" a="1"/>
  <c r="G116" i="28" s="1"/>
  <c r="G128" i="28" a="1"/>
  <c r="G128" i="28" s="1"/>
  <c r="G129" i="28" s="1"/>
  <c r="G259" i="28" a="1"/>
  <c r="G259" i="28" s="1"/>
  <c r="F131" i="25"/>
  <c r="G314" i="28" s="1"/>
  <c r="F41" i="25"/>
  <c r="T41" i="25" s="1"/>
  <c r="F25" i="25"/>
  <c r="O25" i="25" s="1"/>
  <c r="G268" i="28" a="1"/>
  <c r="G268" i="28" s="1"/>
  <c r="G277" i="28" a="1"/>
  <c r="G277" i="28" s="1"/>
  <c r="F115" i="25" s="1"/>
  <c r="G267" i="28" a="1"/>
  <c r="G267" i="28" s="1"/>
  <c r="H88" i="25" s="1"/>
  <c r="G264" i="28" a="1"/>
  <c r="G264" i="28" s="1"/>
  <c r="G263" i="28" a="1"/>
  <c r="G263" i="28" s="1"/>
  <c r="G260" i="28" a="1"/>
  <c r="G260" i="28" s="1"/>
  <c r="G280" i="28" a="1"/>
  <c r="G280" i="28" s="1"/>
  <c r="F118" i="25" s="1"/>
  <c r="W118" i="25" s="1"/>
  <c r="G279" i="28" a="1"/>
  <c r="G279" i="28" s="1"/>
  <c r="F117" i="25" s="1"/>
  <c r="G278" i="28" a="1"/>
  <c r="G278" i="28" s="1"/>
  <c r="F116" i="25" s="1"/>
  <c r="G324" i="28" s="1"/>
  <c r="G281" i="28" a="1"/>
  <c r="G281" i="28" s="1"/>
  <c r="F55" i="25"/>
  <c r="O55" i="25" s="1"/>
  <c r="F33" i="25"/>
  <c r="O33" i="25" s="1"/>
  <c r="F54" i="25"/>
  <c r="O54" i="25" s="1"/>
  <c r="F32" i="25"/>
  <c r="O32" i="25" s="1"/>
  <c r="F22" i="25"/>
  <c r="O22" i="25" s="1"/>
  <c r="F45" i="25"/>
  <c r="O45" i="25" s="1"/>
  <c r="F31" i="25"/>
  <c r="O31" i="25" s="1"/>
  <c r="F21" i="25"/>
  <c r="O21" i="25" s="1"/>
  <c r="F169" i="25"/>
  <c r="W169" i="25" s="1"/>
  <c r="F126" i="25"/>
  <c r="T126" i="25" s="1"/>
  <c r="F44" i="25"/>
  <c r="O44" i="25" s="1"/>
  <c r="F30" i="25"/>
  <c r="O30" i="25" s="1"/>
  <c r="F20" i="25"/>
  <c r="O20" i="25" s="1"/>
  <c r="F125" i="25"/>
  <c r="W125" i="25" s="1"/>
  <c r="F52" i="25"/>
  <c r="O52" i="25" s="1"/>
  <c r="F29" i="25"/>
  <c r="O29" i="25" s="1"/>
  <c r="F19" i="25"/>
  <c r="O19" i="25" s="1"/>
  <c r="F51" i="25"/>
  <c r="O51" i="25" s="1"/>
  <c r="F43" i="25"/>
  <c r="O43" i="25" s="1"/>
  <c r="F28" i="25"/>
  <c r="O28" i="25" s="1"/>
  <c r="F18" i="25"/>
  <c r="O18" i="25" s="1"/>
  <c r="F50" i="25"/>
  <c r="O50" i="25" s="1"/>
  <c r="F42" i="25"/>
  <c r="O42" i="25" s="1"/>
  <c r="F27" i="25"/>
  <c r="O27" i="25" s="1"/>
  <c r="F49" i="25"/>
  <c r="O49" i="25" s="1"/>
  <c r="F26" i="25"/>
  <c r="O26" i="25" s="1"/>
  <c r="F47" i="25"/>
  <c r="O47" i="25" s="1"/>
  <c r="F40" i="25"/>
  <c r="O40" i="25" s="1"/>
  <c r="F34" i="25"/>
  <c r="O34" i="25" s="1"/>
  <c r="F24" i="25"/>
  <c r="O24" i="25" s="1"/>
  <c r="T154" i="25"/>
  <c r="U154" i="25" s="1"/>
  <c r="X154" i="25" s="1"/>
  <c r="V154" i="25" s="1"/>
  <c r="W154" i="25"/>
  <c r="T156" i="25"/>
  <c r="U156" i="25" s="1"/>
  <c r="X156" i="25" s="1"/>
  <c r="V156" i="25" s="1"/>
  <c r="W156" i="25"/>
  <c r="T155" i="25"/>
  <c r="U155" i="25" s="1"/>
  <c r="X155" i="25" s="1"/>
  <c r="V155" i="25" s="1"/>
  <c r="W155" i="25"/>
  <c r="T162" i="25"/>
  <c r="U162" i="25" s="1"/>
  <c r="X162" i="25" s="1"/>
  <c r="V162" i="25" s="1"/>
  <c r="W162" i="25"/>
  <c r="T161" i="25"/>
  <c r="U161" i="25" s="1"/>
  <c r="X161" i="25" s="1"/>
  <c r="V161" i="25" s="1"/>
  <c r="W161" i="25"/>
  <c r="T160" i="25"/>
  <c r="U160" i="25" s="1"/>
  <c r="X160" i="25" s="1"/>
  <c r="V160" i="25" s="1"/>
  <c r="W160" i="25"/>
  <c r="W148" i="25"/>
  <c r="W149" i="25"/>
  <c r="W168" i="25"/>
  <c r="W127" i="25"/>
  <c r="W167" i="25"/>
  <c r="W166" i="25"/>
  <c r="G332" i="28"/>
  <c r="G320" i="28"/>
  <c r="W128" i="25"/>
  <c r="G274" i="28" a="1"/>
  <c r="G274" i="28" s="1"/>
  <c r="G272" i="28" a="1"/>
  <c r="G272" i="28" s="1"/>
  <c r="G273" i="28" a="1"/>
  <c r="G273" i="28" s="1"/>
  <c r="G227" i="28" a="1"/>
  <c r="G227" i="28" s="1"/>
  <c r="G213" i="28" a="1"/>
  <c r="G213" i="28" s="1"/>
  <c r="G154" i="28" a="1"/>
  <c r="G154" i="28" s="1"/>
  <c r="G202" i="28" a="1"/>
  <c r="G202" i="28" s="1"/>
  <c r="G153" i="28" a="1"/>
  <c r="G153" i="28" s="1"/>
  <c r="G96" i="28" a="1"/>
  <c r="G96" i="28" s="1"/>
  <c r="G99" i="28" a="1"/>
  <c r="G99" i="28" s="1"/>
  <c r="G203" i="28" a="1"/>
  <c r="G203" i="28" s="1"/>
  <c r="G152" i="28" a="1"/>
  <c r="G152" i="28" s="1"/>
  <c r="G97" i="28" a="1"/>
  <c r="G97" i="28" s="1"/>
  <c r="G113" i="28" a="1"/>
  <c r="G113" i="28" s="1"/>
  <c r="G224" i="28" a="1"/>
  <c r="G224" i="28" s="1"/>
  <c r="G204" i="28" a="1"/>
  <c r="G204" i="28" s="1"/>
  <c r="G151" i="28" a="1"/>
  <c r="G151" i="28" s="1"/>
  <c r="G98" i="28" a="1"/>
  <c r="G98" i="28" s="1"/>
  <c r="G205" i="28" a="1"/>
  <c r="G205" i="28" s="1"/>
  <c r="G150" i="28" a="1"/>
  <c r="G150" i="28" s="1"/>
  <c r="G206" i="28" a="1"/>
  <c r="G206" i="28" s="1"/>
  <c r="G185" i="28" a="1"/>
  <c r="G185" i="28" s="1"/>
  <c r="G186" i="28" s="1"/>
  <c r="G149" i="28" a="1"/>
  <c r="G149" i="28" s="1"/>
  <c r="G207" i="28" a="1"/>
  <c r="G207" i="28" s="1"/>
  <c r="G148" i="28" a="1"/>
  <c r="G148" i="28" s="1"/>
  <c r="G89" i="28" a="1"/>
  <c r="G89" i="28" s="1"/>
  <c r="G110" i="28" a="1"/>
  <c r="G110" i="28" s="1"/>
  <c r="G88" i="28" a="1"/>
  <c r="G88" i="28" s="1"/>
  <c r="G208" i="28" a="1"/>
  <c r="G208" i="28" s="1"/>
  <c r="G183" i="28" a="1"/>
  <c r="G183" i="28" s="1"/>
  <c r="G184" i="28" s="1"/>
  <c r="G147" i="28" a="1"/>
  <c r="G147" i="28" s="1"/>
  <c r="G90" i="28" a="1"/>
  <c r="G90" i="28" s="1"/>
  <c r="G209" i="28" a="1"/>
  <c r="G209" i="28" s="1"/>
  <c r="G170" i="28" a="1"/>
  <c r="G170" i="28" s="1"/>
  <c r="G146" i="28" a="1"/>
  <c r="G146" i="28" s="1"/>
  <c r="G91" i="28" a="1"/>
  <c r="G91" i="28" s="1"/>
  <c r="G242" i="28" a="1"/>
  <c r="G242" i="28" s="1"/>
  <c r="G243" i="28" s="1"/>
  <c r="G210" i="28" a="1"/>
  <c r="G210" i="28" s="1"/>
  <c r="G145" i="28" a="1"/>
  <c r="G145" i="28" s="1"/>
  <c r="G92" i="28" a="1"/>
  <c r="G92" i="28" s="1"/>
  <c r="G211" i="28" a="1"/>
  <c r="G211" i="28" s="1"/>
  <c r="G156" i="28" a="1"/>
  <c r="G156" i="28" s="1"/>
  <c r="G93" i="28" a="1"/>
  <c r="G93" i="28" s="1"/>
  <c r="G94" i="28" a="1"/>
  <c r="G94" i="28" s="1"/>
  <c r="G240" i="28" a="1"/>
  <c r="G240" i="28" s="1"/>
  <c r="G241" i="28" s="1"/>
  <c r="G212" i="28" a="1"/>
  <c r="G212" i="28" s="1"/>
  <c r="G167" i="28" a="1"/>
  <c r="G167" i="28" s="1"/>
  <c r="G155" i="28" a="1"/>
  <c r="G155" i="28" s="1"/>
  <c r="G95" i="28" a="1"/>
  <c r="G95" i="28" s="1"/>
  <c r="H75" i="25"/>
  <c r="G73" i="28" a="1"/>
  <c r="G73" i="28" s="1"/>
  <c r="G82" i="28" a="1"/>
  <c r="G82" i="28" s="1"/>
  <c r="G77" i="28" a="1"/>
  <c r="G77" i="28" s="1"/>
  <c r="G83" i="28" a="1"/>
  <c r="G83" i="28" s="1"/>
  <c r="G75" i="28" a="1"/>
  <c r="G75" i="28" s="1"/>
  <c r="G63" i="28" a="1"/>
  <c r="G63" i="28" s="1"/>
  <c r="G65" i="28" a="1"/>
  <c r="G65" i="28" s="1"/>
  <c r="G56" i="28" a="1"/>
  <c r="G56" i="28" s="1"/>
  <c r="G61" i="28" a="1"/>
  <c r="G61" i="28" s="1"/>
  <c r="G30" i="28" a="1"/>
  <c r="G30" i="28" s="1"/>
  <c r="G54" i="28" a="1"/>
  <c r="G54" i="28" s="1"/>
  <c r="G53" i="28" a="1"/>
  <c r="G53" i="28" s="1"/>
  <c r="G50" i="28" a="1"/>
  <c r="G50" i="28" s="1"/>
  <c r="G28" i="28" a="1"/>
  <c r="G28" i="28" s="1"/>
  <c r="G48" i="28" a="1"/>
  <c r="G48" i="28" s="1"/>
  <c r="G29" i="28" a="1"/>
  <c r="G29" i="28" s="1"/>
  <c r="G47" i="28" a="1"/>
  <c r="G47" i="28" s="1"/>
  <c r="G44" i="28" a="1"/>
  <c r="G44" i="28" s="1"/>
  <c r="G31" i="28" a="1"/>
  <c r="G31" i="28" s="1"/>
  <c r="G42" i="28" a="1"/>
  <c r="G42" i="28" s="1"/>
  <c r="G32" i="28" a="1"/>
  <c r="G32" i="28" s="1"/>
  <c r="G41" i="28" a="1"/>
  <c r="G41" i="28" s="1"/>
  <c r="G27" i="28" a="1"/>
  <c r="G27" i="28" s="1"/>
  <c r="G23" i="28" a="1"/>
  <c r="G23" i="28" s="1"/>
  <c r="G16" i="28" a="1"/>
  <c r="G16" i="28" s="1"/>
  <c r="G24" i="28" a="1"/>
  <c r="G24" i="28" s="1"/>
  <c r="G6" i="28" a="1"/>
  <c r="G6" i="28" s="1"/>
  <c r="G22" i="28" a="1"/>
  <c r="G22" i="28" s="1"/>
  <c r="G18" i="28" a="1"/>
  <c r="G18" i="28" s="1"/>
  <c r="G7" i="28" a="1"/>
  <c r="G7" i="28" s="1"/>
  <c r="G8" i="28" a="1"/>
  <c r="G8" i="28" s="1"/>
  <c r="G9" i="28" a="1"/>
  <c r="G9" i="28" s="1"/>
  <c r="G10" i="28" a="1"/>
  <c r="G10" i="28" s="1"/>
  <c r="G11" i="28" a="1"/>
  <c r="G11" i="28" s="1"/>
  <c r="G12" i="28" a="1"/>
  <c r="G12" i="28" s="1"/>
  <c r="G13" i="28" a="1"/>
  <c r="G13" i="28" s="1"/>
  <c r="G17" i="28" a="1"/>
  <c r="G17" i="28" s="1"/>
  <c r="G14" i="28" a="1"/>
  <c r="G14" i="28" s="1"/>
  <c r="G15" i="28" a="1"/>
  <c r="G15" i="28" s="1"/>
  <c r="W132" i="25"/>
  <c r="W152" i="25"/>
  <c r="W170" i="25"/>
  <c r="W151" i="25"/>
  <c r="W130" i="25"/>
  <c r="W129" i="25"/>
  <c r="W134" i="25"/>
  <c r="W173" i="25"/>
  <c r="W163" i="25"/>
  <c r="W133" i="25"/>
  <c r="W124" i="25"/>
  <c r="W123" i="25"/>
  <c r="X113" i="25"/>
  <c r="V113" i="25" s="1"/>
  <c r="W113" i="25"/>
  <c r="T6" i="25"/>
  <c r="U6" i="25" s="1"/>
  <c r="X6" i="25" s="1"/>
  <c r="V6" i="25" s="1"/>
  <c r="W6" i="25"/>
  <c r="T5" i="25"/>
  <c r="W5" i="25"/>
  <c r="W23" i="25"/>
  <c r="T141" i="25"/>
  <c r="U141" i="25" s="1"/>
  <c r="X141" i="25" s="1"/>
  <c r="V141" i="25" s="1"/>
  <c r="W141" i="25"/>
  <c r="T15" i="25"/>
  <c r="U15" i="25" s="1"/>
  <c r="X15" i="25" s="1"/>
  <c r="V15" i="25" s="1"/>
  <c r="W15" i="25"/>
  <c r="T165" i="25"/>
  <c r="U165" i="25" s="1"/>
  <c r="X165" i="25" s="1"/>
  <c r="V165" i="25" s="1"/>
  <c r="W165" i="25"/>
  <c r="T11" i="25"/>
  <c r="U11" i="25" s="1"/>
  <c r="X11" i="25" s="1"/>
  <c r="V11" i="25" s="1"/>
  <c r="W11" i="25"/>
  <c r="T9" i="25"/>
  <c r="U9" i="25" s="1"/>
  <c r="X9" i="25" s="1"/>
  <c r="V9" i="25" s="1"/>
  <c r="W9" i="25"/>
  <c r="T172" i="25"/>
  <c r="U172" i="25" s="1"/>
  <c r="X172" i="25" s="1"/>
  <c r="V172" i="25" s="1"/>
  <c r="W172" i="25"/>
  <c r="T153" i="25"/>
  <c r="U153" i="25" s="1"/>
  <c r="X153" i="25" s="1"/>
  <c r="V153" i="25" s="1"/>
  <c r="W153" i="25"/>
  <c r="T150" i="25"/>
  <c r="U150" i="25" s="1"/>
  <c r="X150" i="25" s="1"/>
  <c r="V150" i="25" s="1"/>
  <c r="W150" i="25"/>
  <c r="T14" i="25"/>
  <c r="U14" i="25" s="1"/>
  <c r="X14" i="25" s="1"/>
  <c r="V14" i="25" s="1"/>
  <c r="W14" i="25"/>
  <c r="T147" i="25"/>
  <c r="U147" i="25" s="1"/>
  <c r="X147" i="25" s="1"/>
  <c r="V147" i="25" s="1"/>
  <c r="W147" i="25"/>
  <c r="T164" i="25"/>
  <c r="U164" i="25" s="1"/>
  <c r="X164" i="25" s="1"/>
  <c r="V164" i="25" s="1"/>
  <c r="W164" i="25"/>
  <c r="T12" i="25"/>
  <c r="U12" i="25" s="1"/>
  <c r="X12" i="25" s="1"/>
  <c r="V12" i="25" s="1"/>
  <c r="W12" i="25"/>
  <c r="T159" i="25"/>
  <c r="U159" i="25" s="1"/>
  <c r="X159" i="25" s="1"/>
  <c r="V159" i="25" s="1"/>
  <c r="W159" i="25"/>
  <c r="T144" i="25"/>
  <c r="U144" i="25" s="1"/>
  <c r="X144" i="25" s="1"/>
  <c r="V144" i="25" s="1"/>
  <c r="W144" i="25"/>
  <c r="T8" i="25"/>
  <c r="U8" i="25" s="1"/>
  <c r="X8" i="25" s="1"/>
  <c r="V8" i="25" s="1"/>
  <c r="W8" i="25"/>
  <c r="T121" i="25"/>
  <c r="U121" i="25" s="1"/>
  <c r="X121" i="25" s="1"/>
  <c r="V121" i="25" s="1"/>
  <c r="W121" i="25"/>
  <c r="T138" i="25"/>
  <c r="U138" i="25" s="1"/>
  <c r="X138" i="25" s="1"/>
  <c r="V138" i="25" s="1"/>
  <c r="W138" i="25"/>
  <c r="T135" i="25"/>
  <c r="U135" i="25" s="1"/>
  <c r="X135" i="25" s="1"/>
  <c r="V135" i="25" s="1"/>
  <c r="W135" i="25"/>
  <c r="T16" i="25"/>
  <c r="U16" i="25" s="1"/>
  <c r="X16" i="25" s="1"/>
  <c r="V16" i="25" s="1"/>
  <c r="W16" i="25"/>
  <c r="T13" i="25"/>
  <c r="U13" i="25" s="1"/>
  <c r="X13" i="25" s="1"/>
  <c r="V13" i="25" s="1"/>
  <c r="W13" i="25"/>
  <c r="X114" i="25"/>
  <c r="V114" i="25" s="1"/>
  <c r="W114" i="25"/>
  <c r="T7" i="25"/>
  <c r="U7" i="25" s="1"/>
  <c r="X7" i="25" s="1"/>
  <c r="V7" i="25" s="1"/>
  <c r="W7" i="25"/>
  <c r="T167" i="25"/>
  <c r="T166" i="25"/>
  <c r="G330" i="28" s="1"/>
  <c r="I39" i="24"/>
  <c r="D83" i="23" s="1"/>
  <c r="D55" i="24"/>
  <c r="D79" i="23" s="1"/>
  <c r="Q122" i="25" s="1"/>
  <c r="T122" i="25" s="1"/>
  <c r="T128" i="25"/>
  <c r="D86" i="24"/>
  <c r="D77" i="23" s="1"/>
  <c r="Q120" i="25" s="1"/>
  <c r="T120" i="25" s="1"/>
  <c r="O38" i="25"/>
  <c r="T23" i="25"/>
  <c r="D28" i="23"/>
  <c r="Q22" i="25" s="1"/>
  <c r="T132" i="25"/>
  <c r="T124" i="25"/>
  <c r="T123" i="25"/>
  <c r="O39" i="25"/>
  <c r="E196" i="24"/>
  <c r="F182" i="24" s="1"/>
  <c r="E182" i="24" s="1"/>
  <c r="G183" i="24"/>
  <c r="I183" i="24" s="1"/>
  <c r="J183" i="24" s="1"/>
  <c r="D121" i="23" s="1"/>
  <c r="Q177" i="25" s="1"/>
  <c r="G180" i="24"/>
  <c r="I180" i="24" s="1"/>
  <c r="J180" i="24" s="1"/>
  <c r="D118" i="23" s="1"/>
  <c r="Q174" i="25" s="1"/>
  <c r="T174" i="25" s="1"/>
  <c r="T129" i="25"/>
  <c r="T130" i="25"/>
  <c r="D76" i="24"/>
  <c r="D119" i="24"/>
  <c r="D37" i="23" s="1"/>
  <c r="Q31" i="25" s="1"/>
  <c r="D153" i="24"/>
  <c r="G181" i="24"/>
  <c r="I181" i="24" s="1"/>
  <c r="J181" i="24" s="1"/>
  <c r="D119" i="23" s="1"/>
  <c r="Q175" i="25" s="1"/>
  <c r="T175" i="25" s="1"/>
  <c r="T170" i="25"/>
  <c r="T127" i="25"/>
  <c r="T133" i="25"/>
  <c r="T163" i="25"/>
  <c r="T151" i="25"/>
  <c r="D89" i="23"/>
  <c r="Q136" i="25" s="1"/>
  <c r="Q137" i="25" s="1"/>
  <c r="T137" i="25" s="1"/>
  <c r="Q145" i="25"/>
  <c r="Q146" i="25" s="1"/>
  <c r="T146" i="25" s="1"/>
  <c r="Q142" i="25"/>
  <c r="Q143" i="25" s="1"/>
  <c r="T143" i="25" s="1"/>
  <c r="T148" i="25"/>
  <c r="T152" i="25"/>
  <c r="T168" i="25"/>
  <c r="T149" i="25"/>
  <c r="T134" i="25"/>
  <c r="T173" i="25"/>
  <c r="H89" i="25"/>
  <c r="H74" i="25"/>
  <c r="H61" i="25"/>
  <c r="H60" i="25"/>
  <c r="D93" i="24"/>
  <c r="D93" i="23" s="1"/>
  <c r="Q157" i="25" s="1"/>
  <c r="Q158" i="25" s="1"/>
  <c r="T158" i="25" s="1"/>
  <c r="G182" i="24"/>
  <c r="I182" i="24" s="1"/>
  <c r="G157" i="28" l="1"/>
  <c r="G187" i="28" s="1"/>
  <c r="F70" i="25" s="1"/>
  <c r="G158" i="28"/>
  <c r="G188" i="28" s="1"/>
  <c r="F71" i="25" s="1"/>
  <c r="G159" i="28"/>
  <c r="G189" i="28" s="1"/>
  <c r="F72" i="25" s="1"/>
  <c r="G160" i="28"/>
  <c r="G190" i="28" s="1"/>
  <c r="F73" i="25" s="1"/>
  <c r="G161" i="28"/>
  <c r="G191" i="28" s="1"/>
  <c r="F74" i="25" s="1"/>
  <c r="G162" i="28"/>
  <c r="G192" i="28" s="1"/>
  <c r="F75" i="25" s="1"/>
  <c r="G163" i="28"/>
  <c r="G193" i="28" s="1"/>
  <c r="F76" i="25" s="1"/>
  <c r="G164" i="28"/>
  <c r="G194" i="28" s="1"/>
  <c r="F77" i="25" s="1"/>
  <c r="G165" i="28"/>
  <c r="G195" i="28" s="1"/>
  <c r="F78" i="25" s="1"/>
  <c r="G166" i="28"/>
  <c r="G196" i="28" s="1"/>
  <c r="F79" i="25" s="1"/>
  <c r="W131" i="25"/>
  <c r="T131" i="25"/>
  <c r="U131" i="25" s="1"/>
  <c r="X131" i="25" s="1"/>
  <c r="V131" i="25" s="1"/>
  <c r="O41" i="25"/>
  <c r="W41" i="25"/>
  <c r="G293" i="28"/>
  <c r="G292" i="28"/>
  <c r="W25" i="25"/>
  <c r="T25" i="25"/>
  <c r="U25" i="25" s="1"/>
  <c r="X25" i="25" s="1"/>
  <c r="V25" i="25" s="1"/>
  <c r="T21" i="25"/>
  <c r="U21" i="25" s="1"/>
  <c r="X21" i="25" s="1"/>
  <c r="V21" i="25" s="1"/>
  <c r="W33" i="25"/>
  <c r="T33" i="25"/>
  <c r="U33" i="25" s="1"/>
  <c r="X33" i="25" s="1"/>
  <c r="V33" i="25" s="1"/>
  <c r="T19" i="25"/>
  <c r="U19" i="25" s="1"/>
  <c r="X19" i="25" s="1"/>
  <c r="V19" i="25" s="1"/>
  <c r="W54" i="25"/>
  <c r="T54" i="25"/>
  <c r="U54" i="25" s="1"/>
  <c r="X54" i="25" s="1"/>
  <c r="V54" i="25" s="1"/>
  <c r="T24" i="25"/>
  <c r="U24" i="25" s="1"/>
  <c r="X24" i="25" s="1"/>
  <c r="V24" i="25" s="1"/>
  <c r="W50" i="25"/>
  <c r="W24" i="25"/>
  <c r="T169" i="25"/>
  <c r="U169" i="25" s="1"/>
  <c r="X169" i="25" s="1"/>
  <c r="V169" i="25" s="1"/>
  <c r="W51" i="25"/>
  <c r="W18" i="25"/>
  <c r="W30" i="25"/>
  <c r="T22" i="25"/>
  <c r="U22" i="25" s="1"/>
  <c r="X22" i="25" s="1"/>
  <c r="V22" i="25" s="1"/>
  <c r="T52" i="25"/>
  <c r="U52" i="25" s="1"/>
  <c r="X52" i="25" s="1"/>
  <c r="V52" i="25" s="1"/>
  <c r="W52" i="25"/>
  <c r="W47" i="25"/>
  <c r="T50" i="25"/>
  <c r="U50" i="25" s="1"/>
  <c r="X50" i="25" s="1"/>
  <c r="V50" i="25" s="1"/>
  <c r="W20" i="25"/>
  <c r="W42" i="25"/>
  <c r="T44" i="25"/>
  <c r="U44" i="25" s="1"/>
  <c r="X44" i="25" s="1"/>
  <c r="V44" i="25" s="1"/>
  <c r="T20" i="25"/>
  <c r="U20" i="25" s="1"/>
  <c r="X20" i="25" s="1"/>
  <c r="V20" i="25" s="1"/>
  <c r="T42" i="25"/>
  <c r="U42" i="25" s="1"/>
  <c r="X42" i="25" s="1"/>
  <c r="V42" i="25" s="1"/>
  <c r="T45" i="25"/>
  <c r="U45" i="25" s="1"/>
  <c r="X45" i="25" s="1"/>
  <c r="V45" i="25" s="1"/>
  <c r="W45" i="25"/>
  <c r="W49" i="25"/>
  <c r="T18" i="25"/>
  <c r="U18" i="25" s="1"/>
  <c r="X18" i="25" s="1"/>
  <c r="V18" i="25" s="1"/>
  <c r="T27" i="25"/>
  <c r="U27" i="25" s="1"/>
  <c r="X27" i="25" s="1"/>
  <c r="V27" i="25" s="1"/>
  <c r="W44" i="25"/>
  <c r="T125" i="25"/>
  <c r="T28" i="25"/>
  <c r="U28" i="25" s="1"/>
  <c r="X28" i="25" s="1"/>
  <c r="V28" i="25" s="1"/>
  <c r="W28" i="25"/>
  <c r="W29" i="25"/>
  <c r="W21" i="25"/>
  <c r="W40" i="25"/>
  <c r="W19" i="25"/>
  <c r="W34" i="25"/>
  <c r="T40" i="25"/>
  <c r="U40" i="25" s="1"/>
  <c r="X40" i="25" s="1"/>
  <c r="V40" i="25" s="1"/>
  <c r="T51" i="25"/>
  <c r="U51" i="25" s="1"/>
  <c r="X51" i="25" s="1"/>
  <c r="V51" i="25" s="1"/>
  <c r="T30" i="25"/>
  <c r="U30" i="25" s="1"/>
  <c r="X30" i="25" s="1"/>
  <c r="V30" i="25" s="1"/>
  <c r="T47" i="25"/>
  <c r="U47" i="25" s="1"/>
  <c r="X47" i="25" s="1"/>
  <c r="V47" i="25" s="1"/>
  <c r="W27" i="25"/>
  <c r="W55" i="25"/>
  <c r="T49" i="25"/>
  <c r="U49" i="25" s="1"/>
  <c r="X49" i="25" s="1"/>
  <c r="V49" i="25" s="1"/>
  <c r="T55" i="25"/>
  <c r="U55" i="25" s="1"/>
  <c r="X55" i="25" s="1"/>
  <c r="V55" i="25" s="1"/>
  <c r="W43" i="25"/>
  <c r="T31" i="25"/>
  <c r="U31" i="25" s="1"/>
  <c r="X31" i="25" s="1"/>
  <c r="V31" i="25" s="1"/>
  <c r="T34" i="25"/>
  <c r="U34" i="25" s="1"/>
  <c r="X34" i="25" s="1"/>
  <c r="V34" i="25" s="1"/>
  <c r="T29" i="25"/>
  <c r="U29" i="25" s="1"/>
  <c r="X29" i="25" s="1"/>
  <c r="V29" i="25" s="1"/>
  <c r="T26" i="25"/>
  <c r="U26" i="25" s="1"/>
  <c r="X26" i="25" s="1"/>
  <c r="V26" i="25" s="1"/>
  <c r="T43" i="25"/>
  <c r="U43" i="25" s="1"/>
  <c r="X43" i="25" s="1"/>
  <c r="V43" i="25" s="1"/>
  <c r="W26" i="25"/>
  <c r="G333" i="28"/>
  <c r="G282" i="28"/>
  <c r="F119" i="25" s="1"/>
  <c r="G313" i="28"/>
  <c r="G316" i="28" s="1"/>
  <c r="G37" i="28"/>
  <c r="G34" i="28"/>
  <c r="F36" i="25" s="1"/>
  <c r="G36" i="28"/>
  <c r="G33" i="28"/>
  <c r="F35" i="25" s="1"/>
  <c r="O35" i="25" s="1"/>
  <c r="W126" i="25"/>
  <c r="G38" i="28"/>
  <c r="G35" i="28"/>
  <c r="F37" i="25" s="1"/>
  <c r="O37" i="25" s="1"/>
  <c r="W146" i="25"/>
  <c r="W143" i="25"/>
  <c r="W122" i="25"/>
  <c r="W22" i="25"/>
  <c r="W174" i="25"/>
  <c r="W31" i="25"/>
  <c r="G334" i="28"/>
  <c r="W115" i="25"/>
  <c r="G323" i="28"/>
  <c r="U5" i="25"/>
  <c r="X5" i="25" s="1"/>
  <c r="V5" i="25" s="1"/>
  <c r="G215" i="28"/>
  <c r="G245" i="28" s="1"/>
  <c r="F85" i="25" s="1"/>
  <c r="G214" i="28"/>
  <c r="G244" i="28" s="1"/>
  <c r="F84" i="25" s="1"/>
  <c r="G223" i="28"/>
  <c r="G253" i="28" s="1"/>
  <c r="F93" i="25" s="1"/>
  <c r="G222" i="28"/>
  <c r="G252" i="28" s="1"/>
  <c r="F92" i="25" s="1"/>
  <c r="G221" i="28"/>
  <c r="G251" i="28" s="1"/>
  <c r="F91" i="25" s="1"/>
  <c r="G220" i="28"/>
  <c r="G250" i="28" s="1"/>
  <c r="F90" i="25" s="1"/>
  <c r="G219" i="28"/>
  <c r="G249" i="28" s="1"/>
  <c r="F89" i="25" s="1"/>
  <c r="G218" i="28"/>
  <c r="G248" i="28" s="1"/>
  <c r="G217" i="28"/>
  <c r="G247" i="28" s="1"/>
  <c r="F87" i="25" s="1"/>
  <c r="G216" i="28"/>
  <c r="G246" i="28" s="1"/>
  <c r="F86" i="25" s="1"/>
  <c r="G169" i="28"/>
  <c r="G198" i="28" s="1"/>
  <c r="G168" i="28"/>
  <c r="G172" i="28"/>
  <c r="G200" i="28" s="1"/>
  <c r="F83" i="25" s="1"/>
  <c r="G171" i="28"/>
  <c r="G199" i="28" s="1"/>
  <c r="G111" i="28"/>
  <c r="G112" i="28"/>
  <c r="G226" i="28"/>
  <c r="G225" i="28"/>
  <c r="G115" i="28"/>
  <c r="G143" i="28" s="1"/>
  <c r="F69" i="25" s="1"/>
  <c r="G114" i="28"/>
  <c r="G142" i="28" s="1"/>
  <c r="G229" i="28"/>
  <c r="G257" i="28" s="1"/>
  <c r="F97" i="25" s="1"/>
  <c r="G228" i="28"/>
  <c r="G256" i="28" s="1"/>
  <c r="G74" i="28"/>
  <c r="G76" i="28" s="1"/>
  <c r="G78" i="28"/>
  <c r="G79" i="28" s="1"/>
  <c r="G55" i="28"/>
  <c r="G58" i="28" s="1"/>
  <c r="G49" i="28"/>
  <c r="G52" i="28" s="1"/>
  <c r="G43" i="28"/>
  <c r="G64" i="28" s="1"/>
  <c r="G20" i="28"/>
  <c r="G19" i="28"/>
  <c r="W137" i="25"/>
  <c r="W142" i="25"/>
  <c r="W175" i="25"/>
  <c r="W136" i="25"/>
  <c r="W145" i="25"/>
  <c r="W157" i="25"/>
  <c r="W158" i="25"/>
  <c r="W120" i="25"/>
  <c r="T117" i="25"/>
  <c r="U117" i="25" s="1"/>
  <c r="X117" i="25" s="1"/>
  <c r="V117" i="25" s="1"/>
  <c r="W117" i="25"/>
  <c r="W38" i="25"/>
  <c r="W39" i="25"/>
  <c r="W116" i="25"/>
  <c r="T177" i="25"/>
  <c r="U177" i="25" s="1"/>
  <c r="X177" i="25" s="1"/>
  <c r="V177" i="25" s="1"/>
  <c r="W177" i="25"/>
  <c r="U174" i="25"/>
  <c r="X174" i="25" s="1"/>
  <c r="V174" i="25" s="1"/>
  <c r="U128" i="25"/>
  <c r="X128" i="25" s="1"/>
  <c r="V128" i="25" s="1"/>
  <c r="U168" i="25"/>
  <c r="X168" i="25" s="1"/>
  <c r="V168" i="25" s="1"/>
  <c r="U122" i="25"/>
  <c r="X122" i="25" s="1"/>
  <c r="V122" i="25" s="1"/>
  <c r="U152" i="25"/>
  <c r="X152" i="25" s="1"/>
  <c r="V152" i="25" s="1"/>
  <c r="U126" i="25"/>
  <c r="X126" i="25" s="1"/>
  <c r="V126" i="25" s="1"/>
  <c r="U127" i="25"/>
  <c r="X127" i="25" s="1"/>
  <c r="V127" i="25" s="1"/>
  <c r="U23" i="25"/>
  <c r="X23" i="25" s="1"/>
  <c r="V23" i="25" s="1"/>
  <c r="U149" i="25"/>
  <c r="X149" i="25" s="1"/>
  <c r="V149" i="25" s="1"/>
  <c r="U158" i="25"/>
  <c r="X158" i="25" s="1"/>
  <c r="V158" i="25" s="1"/>
  <c r="U148" i="25"/>
  <c r="X148" i="25" s="1"/>
  <c r="V148" i="25" s="1"/>
  <c r="U170" i="25"/>
  <c r="X170" i="25" s="1"/>
  <c r="V170" i="25" s="1"/>
  <c r="U143" i="25"/>
  <c r="X143" i="25" s="1"/>
  <c r="V143" i="25" s="1"/>
  <c r="U175" i="25"/>
  <c r="X175" i="25" s="1"/>
  <c r="V175" i="25" s="1"/>
  <c r="U146" i="25"/>
  <c r="X146" i="25" s="1"/>
  <c r="V146" i="25" s="1"/>
  <c r="U137" i="25"/>
  <c r="X137" i="25" s="1"/>
  <c r="V137" i="25" s="1"/>
  <c r="U151" i="25"/>
  <c r="X151" i="25" s="1"/>
  <c r="V151" i="25" s="1"/>
  <c r="U123" i="25"/>
  <c r="X123" i="25" s="1"/>
  <c r="V123" i="25" s="1"/>
  <c r="U41" i="25"/>
  <c r="X41" i="25" s="1"/>
  <c r="V41" i="25" s="1"/>
  <c r="U134" i="25"/>
  <c r="X134" i="25" s="1"/>
  <c r="V134" i="25" s="1"/>
  <c r="U163" i="25"/>
  <c r="X163" i="25" s="1"/>
  <c r="V163" i="25" s="1"/>
  <c r="U130" i="25"/>
  <c r="X130" i="25" s="1"/>
  <c r="V130" i="25" s="1"/>
  <c r="U124" i="25"/>
  <c r="X124" i="25" s="1"/>
  <c r="V124" i="25" s="1"/>
  <c r="U132" i="25"/>
  <c r="X132" i="25" s="1"/>
  <c r="V132" i="25" s="1"/>
  <c r="U173" i="25"/>
  <c r="X173" i="25" s="1"/>
  <c r="V173" i="25" s="1"/>
  <c r="U129" i="25"/>
  <c r="X129" i="25" s="1"/>
  <c r="V129" i="25" s="1"/>
  <c r="U167" i="25"/>
  <c r="X167" i="25" s="1"/>
  <c r="V167" i="25" s="1"/>
  <c r="U166" i="25"/>
  <c r="X166" i="25" s="1"/>
  <c r="V166" i="25" s="1"/>
  <c r="T116" i="25"/>
  <c r="T118" i="25"/>
  <c r="T115" i="25"/>
  <c r="U133" i="25"/>
  <c r="X133" i="25" s="1"/>
  <c r="V133" i="25" s="1"/>
  <c r="U120" i="25"/>
  <c r="X120" i="25" s="1"/>
  <c r="V120" i="25" s="1"/>
  <c r="J182" i="24"/>
  <c r="D120" i="23" s="1"/>
  <c r="Q176" i="25" s="1"/>
  <c r="T38" i="25"/>
  <c r="T39" i="25"/>
  <c r="D77" i="24"/>
  <c r="D95" i="23"/>
  <c r="Q139" i="25" s="1"/>
  <c r="Q32" i="25"/>
  <c r="T136" i="25"/>
  <c r="T142" i="25"/>
  <c r="T145" i="25"/>
  <c r="T157" i="25"/>
  <c r="Q171" i="25"/>
  <c r="Q140" i="25" l="1"/>
  <c r="T139" i="25"/>
  <c r="U139" i="25" s="1"/>
  <c r="X139" i="25" s="1"/>
  <c r="V139" i="25" s="1"/>
  <c r="W139" i="25"/>
  <c r="G312" i="28"/>
  <c r="G317" i="28" s="1"/>
  <c r="AK32" i="35" s="1"/>
  <c r="G254" i="28"/>
  <c r="F94" i="25" s="1"/>
  <c r="F96" i="25"/>
  <c r="G255" i="28"/>
  <c r="F95" i="25" s="1"/>
  <c r="F68" i="25"/>
  <c r="G141" i="28"/>
  <c r="F67" i="25" s="1"/>
  <c r="G140" i="28"/>
  <c r="F66" i="25" s="1"/>
  <c r="G197" i="28"/>
  <c r="F80" i="25" s="1"/>
  <c r="T80" i="25" s="1"/>
  <c r="U80" i="25" s="1"/>
  <c r="X80" i="25" s="1"/>
  <c r="V80" i="25" s="1"/>
  <c r="U125" i="25"/>
  <c r="X125" i="25" s="1"/>
  <c r="V125" i="25" s="1"/>
  <c r="G296" i="28"/>
  <c r="G270" i="28"/>
  <c r="F53" i="25"/>
  <c r="O53" i="25" s="1"/>
  <c r="F82" i="25"/>
  <c r="T82" i="25" s="1"/>
  <c r="U82" i="25" s="1"/>
  <c r="X82" i="25" s="1"/>
  <c r="V82" i="25" s="1"/>
  <c r="F81" i="25"/>
  <c r="F88" i="25"/>
  <c r="G269" i="28"/>
  <c r="G265" i="28"/>
  <c r="G266" i="28"/>
  <c r="G21" i="28"/>
  <c r="B27" i="30" s="1"/>
  <c r="G285" i="28"/>
  <c r="W36" i="25"/>
  <c r="O36" i="25"/>
  <c r="G104" i="28"/>
  <c r="G134" i="28" s="1"/>
  <c r="G101" i="28"/>
  <c r="G131" i="28" s="1"/>
  <c r="F57" i="25" s="1"/>
  <c r="G103" i="28"/>
  <c r="G133" i="28" s="1"/>
  <c r="F59" i="25" s="1"/>
  <c r="G102" i="28"/>
  <c r="G132" i="28" s="1"/>
  <c r="F58" i="25" s="1"/>
  <c r="G100" i="28"/>
  <c r="G130" i="28" s="1"/>
  <c r="F56" i="25" s="1"/>
  <c r="G109" i="28"/>
  <c r="G108" i="28"/>
  <c r="G107" i="28"/>
  <c r="G106" i="28"/>
  <c r="G136" i="28" s="1"/>
  <c r="F62" i="25" s="1"/>
  <c r="G105" i="28"/>
  <c r="G135" i="28" s="1"/>
  <c r="G81" i="28"/>
  <c r="G85" i="28" s="1"/>
  <c r="F48" i="25" s="1"/>
  <c r="G80" i="28"/>
  <c r="G84" i="28" s="1"/>
  <c r="T35" i="25"/>
  <c r="U35" i="25" s="1"/>
  <c r="X35" i="25" s="1"/>
  <c r="V35" i="25" s="1"/>
  <c r="G57" i="28"/>
  <c r="G60" i="28"/>
  <c r="G67" i="28" s="1"/>
  <c r="G45" i="28"/>
  <c r="G46" i="28"/>
  <c r="T36" i="25"/>
  <c r="U36" i="25" s="1"/>
  <c r="X36" i="25" s="1"/>
  <c r="V36" i="25" s="1"/>
  <c r="G51" i="28"/>
  <c r="G62" i="28"/>
  <c r="G69" i="28" s="1"/>
  <c r="W35" i="25"/>
  <c r="G71" i="28"/>
  <c r="G70" i="28"/>
  <c r="T176" i="25"/>
  <c r="U176" i="25" s="1"/>
  <c r="X176" i="25" s="1"/>
  <c r="V176" i="25" s="1"/>
  <c r="W176" i="25"/>
  <c r="T32" i="25"/>
  <c r="W32" i="25"/>
  <c r="T171" i="25"/>
  <c r="W171" i="25"/>
  <c r="W37" i="25"/>
  <c r="T69" i="25"/>
  <c r="U69" i="25" s="1"/>
  <c r="X69" i="25" s="1"/>
  <c r="V69" i="25" s="1"/>
  <c r="W69" i="25"/>
  <c r="T97" i="25"/>
  <c r="U97" i="25" s="1"/>
  <c r="X97" i="25" s="1"/>
  <c r="V97" i="25" s="1"/>
  <c r="W97" i="25"/>
  <c r="T119" i="25"/>
  <c r="U119" i="25" s="1"/>
  <c r="X119" i="25" s="1"/>
  <c r="V119" i="25" s="1"/>
  <c r="W119" i="25"/>
  <c r="T83" i="25"/>
  <c r="U83" i="25" s="1"/>
  <c r="X83" i="25" s="1"/>
  <c r="V83" i="25" s="1"/>
  <c r="W83" i="25"/>
  <c r="U157" i="25"/>
  <c r="X157" i="25" s="1"/>
  <c r="V157" i="25" s="1"/>
  <c r="U115" i="25"/>
  <c r="X115" i="25" s="1"/>
  <c r="V115" i="25" s="1"/>
  <c r="U145" i="25"/>
  <c r="X145" i="25" s="1"/>
  <c r="V145" i="25" s="1"/>
  <c r="U118" i="25"/>
  <c r="X118" i="25" s="1"/>
  <c r="V118" i="25" s="1"/>
  <c r="U116" i="25"/>
  <c r="X116" i="25" s="1"/>
  <c r="V116" i="25" s="1"/>
  <c r="U142" i="25"/>
  <c r="X142" i="25" s="1"/>
  <c r="V142" i="25" s="1"/>
  <c r="U38" i="25"/>
  <c r="X38" i="25" s="1"/>
  <c r="V38" i="25" s="1"/>
  <c r="U39" i="25"/>
  <c r="X39" i="25" s="1"/>
  <c r="V39" i="25" s="1"/>
  <c r="U136" i="25"/>
  <c r="X136" i="25" s="1"/>
  <c r="V136" i="25" s="1"/>
  <c r="T37" i="25"/>
  <c r="B40" i="19"/>
  <c r="B28" i="19"/>
  <c r="B16" i="19"/>
  <c r="W140" i="25" l="1"/>
  <c r="T140" i="25"/>
  <c r="G299" i="28"/>
  <c r="G301" i="28" s="1"/>
  <c r="AK21" i="35" s="1"/>
  <c r="W80" i="25"/>
  <c r="G137" i="28"/>
  <c r="F63" i="25" s="1"/>
  <c r="G138" i="28"/>
  <c r="F64" i="25" s="1"/>
  <c r="G139" i="28"/>
  <c r="F65" i="25" s="1"/>
  <c r="W53" i="25"/>
  <c r="T53" i="25"/>
  <c r="U53" i="25" s="1"/>
  <c r="X53" i="25" s="1"/>
  <c r="V53" i="25" s="1"/>
  <c r="F46" i="25"/>
  <c r="O46" i="25" s="1"/>
  <c r="F60" i="25"/>
  <c r="T60" i="25" s="1"/>
  <c r="U60" i="25" s="1"/>
  <c r="X60" i="25" s="1"/>
  <c r="V60" i="25" s="1"/>
  <c r="G261" i="28"/>
  <c r="F61" i="25"/>
  <c r="G262" i="28"/>
  <c r="G326" i="28"/>
  <c r="G295" i="28"/>
  <c r="AK17" i="35" s="1"/>
  <c r="G294" i="28"/>
  <c r="AK16" i="35" s="1"/>
  <c r="G325" i="28"/>
  <c r="AK28" i="35" s="1"/>
  <c r="U171" i="25"/>
  <c r="X171" i="25" s="1"/>
  <c r="V171" i="25" s="1"/>
  <c r="G331" i="28"/>
  <c r="U32" i="25"/>
  <c r="X32" i="25" s="1"/>
  <c r="T48" i="25"/>
  <c r="U48" i="25" s="1"/>
  <c r="X48" i="25" s="1"/>
  <c r="V48" i="25" s="1"/>
  <c r="O48" i="25"/>
  <c r="G66" i="28"/>
  <c r="W82" i="25"/>
  <c r="W48" i="25"/>
  <c r="G68" i="28"/>
  <c r="W74" i="25"/>
  <c r="W58" i="25"/>
  <c r="W56" i="25"/>
  <c r="T90" i="25"/>
  <c r="U90" i="25" s="1"/>
  <c r="X90" i="25" s="1"/>
  <c r="V90" i="25" s="1"/>
  <c r="W90" i="25"/>
  <c r="T72" i="25"/>
  <c r="U72" i="25" s="1"/>
  <c r="X72" i="25" s="1"/>
  <c r="V72" i="25" s="1"/>
  <c r="W72" i="25"/>
  <c r="T67" i="25"/>
  <c r="U67" i="25" s="1"/>
  <c r="X67" i="25" s="1"/>
  <c r="V67" i="25" s="1"/>
  <c r="W67" i="25"/>
  <c r="T75" i="25"/>
  <c r="U75" i="25" s="1"/>
  <c r="X75" i="25" s="1"/>
  <c r="V75" i="25" s="1"/>
  <c r="W75" i="25"/>
  <c r="T92" i="25"/>
  <c r="U92" i="25" s="1"/>
  <c r="X92" i="25" s="1"/>
  <c r="V92" i="25" s="1"/>
  <c r="W92" i="25"/>
  <c r="T68" i="25"/>
  <c r="U68" i="25" s="1"/>
  <c r="X68" i="25" s="1"/>
  <c r="V68" i="25" s="1"/>
  <c r="W68" i="25"/>
  <c r="T81" i="25"/>
  <c r="U81" i="25" s="1"/>
  <c r="X81" i="25" s="1"/>
  <c r="V81" i="25" s="1"/>
  <c r="W81" i="25"/>
  <c r="T86" i="25"/>
  <c r="U86" i="25" s="1"/>
  <c r="X86" i="25" s="1"/>
  <c r="V86" i="25" s="1"/>
  <c r="W86" i="25"/>
  <c r="T96" i="25"/>
  <c r="U96" i="25" s="1"/>
  <c r="X96" i="25" s="1"/>
  <c r="V96" i="25" s="1"/>
  <c r="W96" i="25"/>
  <c r="T84" i="25"/>
  <c r="U84" i="25" s="1"/>
  <c r="X84" i="25" s="1"/>
  <c r="V84" i="25" s="1"/>
  <c r="W84" i="25"/>
  <c r="T59" i="25"/>
  <c r="U59" i="25" s="1"/>
  <c r="X59" i="25" s="1"/>
  <c r="V59" i="25" s="1"/>
  <c r="W59" i="25"/>
  <c r="T89" i="25"/>
  <c r="U89" i="25" s="1"/>
  <c r="X89" i="25" s="1"/>
  <c r="V89" i="25" s="1"/>
  <c r="W89" i="25"/>
  <c r="T66" i="25"/>
  <c r="U66" i="25" s="1"/>
  <c r="X66" i="25" s="1"/>
  <c r="V66" i="25" s="1"/>
  <c r="W66" i="25"/>
  <c r="T77" i="25"/>
  <c r="U77" i="25" s="1"/>
  <c r="X77" i="25" s="1"/>
  <c r="V77" i="25" s="1"/>
  <c r="W77" i="25"/>
  <c r="T95" i="25"/>
  <c r="U95" i="25" s="1"/>
  <c r="X95" i="25" s="1"/>
  <c r="V95" i="25" s="1"/>
  <c r="W95" i="25"/>
  <c r="T88" i="25"/>
  <c r="U88" i="25" s="1"/>
  <c r="X88" i="25" s="1"/>
  <c r="V88" i="25" s="1"/>
  <c r="W88" i="25"/>
  <c r="T57" i="25"/>
  <c r="U57" i="25" s="1"/>
  <c r="X57" i="25" s="1"/>
  <c r="V57" i="25" s="1"/>
  <c r="W57" i="25"/>
  <c r="T94" i="25"/>
  <c r="U94" i="25" s="1"/>
  <c r="X94" i="25" s="1"/>
  <c r="V94" i="25" s="1"/>
  <c r="W94" i="25"/>
  <c r="T78" i="25"/>
  <c r="U78" i="25" s="1"/>
  <c r="X78" i="25" s="1"/>
  <c r="V78" i="25" s="1"/>
  <c r="W78" i="25"/>
  <c r="T93" i="25"/>
  <c r="U93" i="25" s="1"/>
  <c r="X93" i="25" s="1"/>
  <c r="V93" i="25" s="1"/>
  <c r="W93" i="25"/>
  <c r="T91" i="25"/>
  <c r="U91" i="25" s="1"/>
  <c r="X91" i="25" s="1"/>
  <c r="V91" i="25" s="1"/>
  <c r="W91" i="25"/>
  <c r="T71" i="25"/>
  <c r="U71" i="25" s="1"/>
  <c r="X71" i="25" s="1"/>
  <c r="V71" i="25" s="1"/>
  <c r="W71" i="25"/>
  <c r="T85" i="25"/>
  <c r="U85" i="25" s="1"/>
  <c r="X85" i="25" s="1"/>
  <c r="V85" i="25" s="1"/>
  <c r="W85" i="25"/>
  <c r="T73" i="25"/>
  <c r="U73" i="25" s="1"/>
  <c r="X73" i="25" s="1"/>
  <c r="V73" i="25" s="1"/>
  <c r="W73" i="25"/>
  <c r="T70" i="25"/>
  <c r="U70" i="25" s="1"/>
  <c r="X70" i="25" s="1"/>
  <c r="V70" i="25" s="1"/>
  <c r="W70" i="25"/>
  <c r="T62" i="25"/>
  <c r="U62" i="25" s="1"/>
  <c r="X62" i="25" s="1"/>
  <c r="V62" i="25" s="1"/>
  <c r="W62" i="25"/>
  <c r="T79" i="25"/>
  <c r="U79" i="25" s="1"/>
  <c r="X79" i="25" s="1"/>
  <c r="V79" i="25" s="1"/>
  <c r="W79" i="25"/>
  <c r="T87" i="25"/>
  <c r="U87" i="25" s="1"/>
  <c r="X87" i="25" s="1"/>
  <c r="V87" i="25" s="1"/>
  <c r="W87" i="25"/>
  <c r="T76" i="25"/>
  <c r="U76" i="25" s="1"/>
  <c r="X76" i="25" s="1"/>
  <c r="V76" i="25" s="1"/>
  <c r="W76" i="25"/>
  <c r="U37" i="25"/>
  <c r="X37" i="25" s="1"/>
  <c r="V37" i="25" s="1"/>
  <c r="T58" i="25"/>
  <c r="T56" i="25"/>
  <c r="B27" i="35"/>
  <c r="D31" i="11"/>
  <c r="D30" i="11"/>
  <c r="D29" i="11"/>
  <c r="F29" i="11" s="1"/>
  <c r="U140" i="25" l="1"/>
  <c r="X140" i="25" s="1"/>
  <c r="V140" i="25" s="1"/>
  <c r="G319" i="28"/>
  <c r="G321" i="28" s="1"/>
  <c r="AK33" i="35" s="1"/>
  <c r="W64" i="25"/>
  <c r="T64" i="25"/>
  <c r="U64" i="25" s="1"/>
  <c r="X64" i="25" s="1"/>
  <c r="V64" i="25" s="1"/>
  <c r="G298" i="28"/>
  <c r="G300" i="28" s="1"/>
  <c r="AK20" i="35" s="1"/>
  <c r="T46" i="25"/>
  <c r="U46" i="25" s="1"/>
  <c r="X46" i="25" s="1"/>
  <c r="V46" i="25" s="1"/>
  <c r="W46" i="25"/>
  <c r="G305" i="28"/>
  <c r="G307" i="28" s="1"/>
  <c r="G327" i="28"/>
  <c r="AN28" i="35" s="1"/>
  <c r="G328" i="28"/>
  <c r="AN29" i="35" s="1"/>
  <c r="G335" i="28"/>
  <c r="AK36" i="35" s="1"/>
  <c r="G306" i="28"/>
  <c r="G304" i="28"/>
  <c r="V32" i="25"/>
  <c r="T74" i="25"/>
  <c r="U74" i="25" s="1"/>
  <c r="X74" i="25" s="1"/>
  <c r="V74" i="25" s="1"/>
  <c r="W60" i="25"/>
  <c r="T61" i="25"/>
  <c r="U61" i="25" s="1"/>
  <c r="X61" i="25" s="1"/>
  <c r="V61" i="25" s="1"/>
  <c r="W61" i="25"/>
  <c r="T65" i="25"/>
  <c r="U65" i="25" s="1"/>
  <c r="X65" i="25" s="1"/>
  <c r="V65" i="25" s="1"/>
  <c r="W65" i="25"/>
  <c r="T63" i="25"/>
  <c r="U63" i="25" s="1"/>
  <c r="X63" i="25" s="1"/>
  <c r="V63" i="25" s="1"/>
  <c r="W63" i="25"/>
  <c r="U56" i="25"/>
  <c r="X56" i="25" s="1"/>
  <c r="V56" i="25" s="1"/>
  <c r="U58" i="25"/>
  <c r="X58" i="25" s="1"/>
  <c r="V58" i="25" s="1"/>
  <c r="AK29" i="35"/>
  <c r="G302" i="28" l="1"/>
  <c r="G309" i="28"/>
  <c r="AN24" i="35" s="1"/>
  <c r="G308" i="28"/>
  <c r="AK25" i="35" s="1"/>
  <c r="G310" i="28"/>
  <c r="AN25" i="35" s="1"/>
  <c r="G288" i="28"/>
  <c r="G287" i="28"/>
  <c r="AK24" i="35"/>
  <c r="G290" i="28" l="1"/>
  <c r="AK13" i="35" s="1"/>
  <c r="G289" i="28"/>
  <c r="AK12"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Niek Schemmekes</author>
    <author>Lars Lensink</author>
  </authors>
  <commentList>
    <comment ref="C18" authorId="0" shapeId="0" xr:uid="{F847A268-168D-4881-8C13-27DCE20AEBBE}">
      <text>
        <r>
          <rPr>
            <b/>
            <sz val="9"/>
            <color rgb="FF000000"/>
            <rFont val="Tahoma"/>
            <family val="2"/>
          </rPr>
          <t xml:space="preserve">IMPORTANT: Input is necessary for the functioning of the tool. </t>
        </r>
        <r>
          <rPr>
            <sz val="10"/>
            <color rgb="FF000000"/>
            <rFont val="Calibri"/>
            <family val="2"/>
          </rPr>
          <t>The calculations in this tool will not work if these fields are not filled in properly.</t>
        </r>
      </text>
    </comment>
    <comment ref="C19" authorId="0" shapeId="0" xr:uid="{C318A438-E583-4ED4-868A-C3E69B886CAA}">
      <text>
        <r>
          <rPr>
            <b/>
            <sz val="9"/>
            <color rgb="FF000000"/>
            <rFont val="Tahoma"/>
            <family val="2"/>
          </rPr>
          <t xml:space="preserve">IMPORTANT: Input is necessary for the functioning of the tool. </t>
        </r>
        <r>
          <rPr>
            <sz val="10"/>
            <color rgb="FF000000"/>
            <rFont val="Calibri"/>
            <family val="2"/>
          </rPr>
          <t>The calculations in this tool will not work if these fields are not filled in properly.</t>
        </r>
        <r>
          <rPr>
            <sz val="9"/>
            <color rgb="FF000000"/>
            <rFont val="Calibri"/>
            <family val="2"/>
          </rPr>
          <t xml:space="preserve"> </t>
        </r>
      </text>
    </comment>
    <comment ref="C30" authorId="0" shapeId="0" xr:uid="{844D66C9-555A-4B3F-AFEF-FAD399D23364}">
      <text>
        <r>
          <rPr>
            <b/>
            <sz val="9"/>
            <color rgb="FF000000"/>
            <rFont val="Tahoma"/>
            <family val="2"/>
          </rPr>
          <t xml:space="preserve">IMPORTANT: Input for the number of visitors is necessary for the functioning of the tool.
</t>
        </r>
        <r>
          <rPr>
            <sz val="10"/>
            <color rgb="FF000000"/>
            <rFont val="Calibri"/>
            <family val="2"/>
          </rPr>
          <t>The calculations in this tool will not work if these fields are not filled in properly.</t>
        </r>
        <r>
          <rPr>
            <sz val="9"/>
            <color rgb="FF000000"/>
            <rFont val="Calibri"/>
            <family val="2"/>
          </rPr>
          <t xml:space="preserve"> </t>
        </r>
      </text>
    </comment>
    <comment ref="C31" authorId="0" shapeId="0" xr:uid="{9BBDD0F6-8BE8-4CBC-8CE5-00E219A3374B}">
      <text>
        <r>
          <rPr>
            <b/>
            <sz val="9"/>
            <color rgb="FF000000"/>
            <rFont val="Tahoma"/>
            <family val="2"/>
          </rPr>
          <t xml:space="preserve">IMPORTANT: Input for the number of visitors is necessary for the functioning of the tool.
</t>
        </r>
        <r>
          <rPr>
            <sz val="10"/>
            <color rgb="FF000000"/>
            <rFont val="Calibri"/>
            <family val="2"/>
          </rPr>
          <t>The calculations in this tool will not work if these fields are not filled in properly.</t>
        </r>
      </text>
    </comment>
    <comment ref="C32" authorId="0" shapeId="0" xr:uid="{04EA2274-E0B5-4B23-96B7-B2F6A6EF017D}">
      <text>
        <r>
          <rPr>
            <b/>
            <sz val="9"/>
            <color rgb="FF000000"/>
            <rFont val="Tahoma"/>
            <family val="2"/>
          </rPr>
          <t xml:space="preserve">IMPORTANT: Input for the number of visitors is necessary for the functioning of the tool.
</t>
        </r>
        <r>
          <rPr>
            <sz val="10"/>
            <color rgb="FF000000"/>
            <rFont val="Calibri"/>
            <family val="2"/>
          </rPr>
          <t>The calculations in this tool will not work if these fields are not filled in properly.</t>
        </r>
      </text>
    </comment>
    <comment ref="C33" authorId="0" shapeId="0" xr:uid="{4B9FDD96-C00F-4795-9FAE-E48DFCF7B0EB}">
      <text>
        <r>
          <rPr>
            <b/>
            <sz val="9"/>
            <color rgb="FF000000"/>
            <rFont val="Tahoma"/>
            <family val="2"/>
          </rPr>
          <t>IMPORTANT: Input for the number of visitors is necessary for the functioning of the tool.</t>
        </r>
        <r>
          <rPr>
            <sz val="9"/>
            <color rgb="FF000000"/>
            <rFont val="Tahoma"/>
            <family val="2"/>
          </rPr>
          <t xml:space="preserve">
</t>
        </r>
        <r>
          <rPr>
            <sz val="10"/>
            <color rgb="FF000000"/>
            <rFont val="Calibri"/>
            <family val="2"/>
          </rPr>
          <t>The calculations in this tool will not work if these fields are not filled in properly.</t>
        </r>
      </text>
    </comment>
    <comment ref="C34" authorId="0" shapeId="0" xr:uid="{0E0D9034-92B9-42C5-BB95-D0EFB8974A67}">
      <text>
        <r>
          <rPr>
            <b/>
            <sz val="9"/>
            <color rgb="FF000000"/>
            <rFont val="Tahoma"/>
            <family val="2"/>
          </rPr>
          <t>IMPORTANT: Input for the number of visitors is necessary for the functioning of the tool.</t>
        </r>
        <r>
          <rPr>
            <sz val="9"/>
            <color rgb="FF000000"/>
            <rFont val="Tahoma"/>
            <family val="2"/>
          </rPr>
          <t xml:space="preserve">
</t>
        </r>
        <r>
          <rPr>
            <sz val="10"/>
            <color rgb="FF000000"/>
            <rFont val="Calibri"/>
            <family val="2"/>
          </rPr>
          <t>The calculations in this tool will not work if these fields are not filled in properly.</t>
        </r>
        <r>
          <rPr>
            <sz val="9"/>
            <color rgb="FF000000"/>
            <rFont val="Calibri"/>
            <family val="2"/>
          </rPr>
          <t xml:space="preserve"> </t>
        </r>
      </text>
    </comment>
    <comment ref="C35" authorId="0" shapeId="0" xr:uid="{90056920-8BDD-4EC7-BC21-B8EF4EA093BF}">
      <text>
        <r>
          <rPr>
            <b/>
            <sz val="9"/>
            <color rgb="FF000000"/>
            <rFont val="Tahoma"/>
            <family val="2"/>
          </rPr>
          <t xml:space="preserve">IMPORTANT: Input for the number of visitors is necessary for the functioning of the tool.
</t>
        </r>
        <r>
          <rPr>
            <sz val="10"/>
            <color rgb="FF000000"/>
            <rFont val="Calibri"/>
            <family val="2"/>
          </rPr>
          <t>The calculations in this tool will not work if these fields are not filled in properly.</t>
        </r>
        <r>
          <rPr>
            <sz val="9"/>
            <color rgb="FF000000"/>
            <rFont val="Tahoma"/>
            <family val="2"/>
          </rPr>
          <t xml:space="preserve">
</t>
        </r>
      </text>
    </comment>
    <comment ref="C36" authorId="0" shapeId="0" xr:uid="{5A629E60-BE98-400B-AC97-AC572A4C16C7}">
      <text>
        <r>
          <rPr>
            <b/>
            <sz val="9"/>
            <color rgb="FF000000"/>
            <rFont val="Tahoma"/>
            <family val="2"/>
          </rPr>
          <t>IMPORTANT: Input for the number of visitors is necessary for the functioning of the tool.</t>
        </r>
        <r>
          <rPr>
            <sz val="9"/>
            <color rgb="FF000000"/>
            <rFont val="Tahoma"/>
            <family val="2"/>
          </rPr>
          <t xml:space="preserve">
</t>
        </r>
        <r>
          <rPr>
            <sz val="10"/>
            <color rgb="FF000000"/>
            <rFont val="Calibri"/>
            <family val="2"/>
          </rPr>
          <t>The calculations in this tool will not work if these fields are not filled in properly.</t>
        </r>
        <r>
          <rPr>
            <sz val="9"/>
            <color rgb="FF000000"/>
            <rFont val="Calibri"/>
            <family val="2"/>
          </rPr>
          <t xml:space="preserve"> </t>
        </r>
      </text>
    </comment>
    <comment ref="C37" authorId="0" shapeId="0" xr:uid="{385ADFF6-8C2A-4E40-ABB0-E462283A92C0}">
      <text>
        <r>
          <rPr>
            <b/>
            <sz val="9"/>
            <color rgb="FF000000"/>
            <rFont val="Tahoma"/>
            <family val="2"/>
          </rPr>
          <t xml:space="preserve">IMPORTANT: Input for the number of visitors is necessary for the functioning of the tool.
</t>
        </r>
        <r>
          <rPr>
            <sz val="10"/>
            <color rgb="FF000000"/>
            <rFont val="Calibri"/>
            <family val="2"/>
          </rPr>
          <t>The calculations in this tool will not work if these fields are not filled in properly.</t>
        </r>
      </text>
    </comment>
    <comment ref="C38" authorId="0" shapeId="0" xr:uid="{5288A808-9611-4BD9-AA8B-2BB4F004211E}">
      <text>
        <r>
          <rPr>
            <b/>
            <sz val="9"/>
            <color rgb="FF000000"/>
            <rFont val="Tahoma"/>
            <family val="2"/>
          </rPr>
          <t>IMPORTANT: Input for the number of visitors is necessary for the functioning of the tool.</t>
        </r>
        <r>
          <rPr>
            <sz val="9"/>
            <color rgb="FF000000"/>
            <rFont val="Tahoma"/>
            <family val="2"/>
          </rPr>
          <t xml:space="preserve">
</t>
        </r>
        <r>
          <rPr>
            <sz val="10"/>
            <color rgb="FF000000"/>
            <rFont val="Calibri"/>
            <family val="2"/>
          </rPr>
          <t>The calculations in this tool will not work if these fields are not filled in properly.</t>
        </r>
      </text>
    </comment>
    <comment ref="C39" authorId="0" shapeId="0" xr:uid="{F383A1B5-167E-488C-A1F2-FB8481AB87BD}">
      <text>
        <r>
          <rPr>
            <b/>
            <sz val="9"/>
            <color rgb="FF000000"/>
            <rFont val="Tahoma"/>
            <family val="2"/>
          </rPr>
          <t>IMPORTANT: Input for the number of visitors is necessary for the functioning of the tool.</t>
        </r>
        <r>
          <rPr>
            <sz val="9"/>
            <color rgb="FF000000"/>
            <rFont val="Tahoma"/>
            <family val="2"/>
          </rPr>
          <t xml:space="preserve">
</t>
        </r>
        <r>
          <rPr>
            <sz val="10"/>
            <color rgb="FF000000"/>
            <rFont val="Calibri"/>
            <family val="2"/>
          </rPr>
          <t>The calculations in this tool will not work if these fields are not filled in properly.</t>
        </r>
      </text>
    </comment>
    <comment ref="C40" authorId="0" shapeId="0" xr:uid="{96797688-785B-4C2E-8759-23BED6DEF9C6}">
      <text>
        <r>
          <rPr>
            <b/>
            <sz val="9"/>
            <color rgb="FF000000"/>
            <rFont val="Tahoma"/>
            <family val="2"/>
          </rPr>
          <t xml:space="preserve">IMPORTANT: Input for the number of visitors is necessary for the functioning of the tool. </t>
        </r>
        <r>
          <rPr>
            <sz val="9"/>
            <color rgb="FF000000"/>
            <rFont val="Tahoma"/>
            <family val="2"/>
          </rPr>
          <t xml:space="preserve">
</t>
        </r>
        <r>
          <rPr>
            <sz val="9"/>
            <color rgb="FF000000"/>
            <rFont val="Tahoma"/>
            <family val="2"/>
          </rPr>
          <t>The calculations in this tool will not work if these fields are not filled in properly.</t>
        </r>
      </text>
    </comment>
    <comment ref="C42" authorId="0" shapeId="0" xr:uid="{30C0652D-B01F-4785-B425-8875CEC21BBC}">
      <text>
        <r>
          <rPr>
            <b/>
            <sz val="9"/>
            <color rgb="FF000000"/>
            <rFont val="Tahoma"/>
            <family val="2"/>
          </rPr>
          <t>IMPORTANT: Input for the number of artist, crew and suppliers is necessary for the functioning of the tool.</t>
        </r>
        <r>
          <rPr>
            <sz val="9"/>
            <color rgb="FF000000"/>
            <rFont val="Tahoma"/>
            <family val="2"/>
          </rPr>
          <t xml:space="preserve"> </t>
        </r>
        <r>
          <rPr>
            <sz val="10"/>
            <color rgb="FF000000"/>
            <rFont val="Calibri"/>
            <family val="2"/>
          </rPr>
          <t>The calculations for travel emissions will not work if these fields are not filled in properly.</t>
        </r>
        <r>
          <rPr>
            <sz val="9"/>
            <color rgb="FF000000"/>
            <rFont val="Calibri"/>
            <family val="2"/>
          </rPr>
          <t xml:space="preserve"> </t>
        </r>
      </text>
    </comment>
    <comment ref="C43" authorId="0" shapeId="0" xr:uid="{A6E6BC09-8A2A-4B48-BA77-8ECBA021A7EC}">
      <text>
        <r>
          <rPr>
            <b/>
            <sz val="9"/>
            <color rgb="FF000000"/>
            <rFont val="Tahoma"/>
            <family val="2"/>
          </rPr>
          <t>IMPORTANT: Input for the number of artist, crew and suppliers is necessary for the functioning of the tool.</t>
        </r>
        <r>
          <rPr>
            <sz val="9"/>
            <color rgb="FF000000"/>
            <rFont val="Tahoma"/>
            <family val="2"/>
          </rPr>
          <t xml:space="preserve"> </t>
        </r>
        <r>
          <rPr>
            <sz val="10"/>
            <color rgb="FF000000"/>
            <rFont val="Calibri"/>
            <family val="2"/>
          </rPr>
          <t>The calculations for travel emissions will not work if these fields are not filled in properly.</t>
        </r>
        <r>
          <rPr>
            <sz val="9"/>
            <color rgb="FF000000"/>
            <rFont val="Calibri"/>
            <family val="2"/>
          </rPr>
          <t xml:space="preserve"> </t>
        </r>
      </text>
    </comment>
    <comment ref="C44" authorId="0" shapeId="0" xr:uid="{0CA347DD-963F-4524-AAB8-64587D618546}">
      <text>
        <r>
          <rPr>
            <b/>
            <sz val="9"/>
            <color rgb="FF000000"/>
            <rFont val="Tahoma"/>
            <family val="2"/>
          </rPr>
          <t xml:space="preserve">IMPORTANT: Input for the number of artist, crew and suppliers is necessary for the functioning of the tool. </t>
        </r>
        <r>
          <rPr>
            <sz val="10"/>
            <color rgb="FF000000"/>
            <rFont val="Calibri"/>
            <family val="2"/>
          </rPr>
          <t>The calculations for travel emissions will not work if these fields are not filled in properly.</t>
        </r>
      </text>
    </comment>
    <comment ref="D134" authorId="1" shapeId="0" xr:uid="{A41D677C-CD9F-5E47-8EAF-C394B375FF1E}">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37" authorId="1" shapeId="0" xr:uid="{CDF11DB7-8C34-9E47-B377-0714F34980EE}">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40" authorId="1" shapeId="0" xr:uid="{46FCB51C-FB94-914E-A54E-F0868753AC65}">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43" authorId="1" shapeId="0" xr:uid="{5630B3ED-E945-6743-9AAD-9A90ACB76DCD}">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46" authorId="1" shapeId="0" xr:uid="{A685508B-2DCE-6D41-864F-C204DFECD104}">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47" authorId="1" shapeId="0" xr:uid="{27F094D2-6896-044F-A234-0A028779B680}">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50" authorId="1" shapeId="0" xr:uid="{DD94DCFC-C619-6B42-9A9F-520F82112B05}">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51" authorId="1" shapeId="0" xr:uid="{D76D94EE-D9CC-F241-BAD4-F6869CD16AF6}">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54" authorId="1" shapeId="0" xr:uid="{FE6F83A9-3135-9344-B13C-AF0C385FC4A8}">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57" authorId="1" shapeId="0" xr:uid="{21C961D7-3063-AC43-9ED9-13A87062579E}">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60" authorId="1" shapeId="0" xr:uid="{F562D525-E7DF-6048-A9E0-06C1E57D1FA6}">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63" authorId="1" shapeId="0" xr:uid="{F081A236-EA60-8B4C-91FC-15878B8AEB79}">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75" authorId="1" shapeId="0" xr:uid="{4FCF843F-0500-9642-8D2A-94866B68C4A1}">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78" authorId="1" shapeId="0" xr:uid="{7D8CB6E6-B2BE-4C49-A071-42D6DED2A5DB}">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81" authorId="1" shapeId="0" xr:uid="{539C9329-0961-654B-BC41-ED9EF393E33B}">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84" authorId="1" shapeId="0" xr:uid="{D1836BEA-8F80-4E4C-81A5-F6FAC622A7DF}">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87" authorId="1" shapeId="0" xr:uid="{852702A8-1168-2F43-BE55-E067F61355A3}">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88" authorId="1" shapeId="0" xr:uid="{8FB7FE34-D991-A44D-8E66-0400A966D863}">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91" authorId="1" shapeId="0" xr:uid="{90DD3607-B886-4C48-8978-C7B220D769B6}">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92" authorId="1" shapeId="0" xr:uid="{9D72E432-2683-3444-84E8-992D321F30E5}">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95" authorId="1" shapeId="0" xr:uid="{0F46CE6F-D702-6241-AAA8-569CA399B24B}">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198" authorId="1" shapeId="0" xr:uid="{23B94168-4ED8-0441-BC50-3AA345115C43}">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01" authorId="1" shapeId="0" xr:uid="{BA62BEAC-BABF-144A-8879-75F45E801FE4}">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04" authorId="1" shapeId="0" xr:uid="{8CFA8582-FB1F-B347-8AC6-AEFCECB5DB11}">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16" authorId="1" shapeId="0" xr:uid="{CC97211A-7929-6047-A606-6F07C77BF55D}">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19" authorId="1" shapeId="0" xr:uid="{A2846D0C-BFBE-174C-851B-1CF9A428F983}">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22" authorId="1" shapeId="0" xr:uid="{BF794B7C-EC84-CD40-B00C-F0559803758B}">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25" authorId="1" shapeId="0" xr:uid="{F1F9B471-08C0-CE45-9EE9-F940CD40563B}">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28" authorId="1" shapeId="0" xr:uid="{3C54650F-ECEB-8543-AA06-14F78B47E810}">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29" authorId="1" shapeId="0" xr:uid="{53D32743-85C0-C44A-98CC-554E8273CDF7}">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32" authorId="1" shapeId="0" xr:uid="{0FFA63A1-DFF6-E943-8BBA-1CD705A8BD15}">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33" authorId="1" shapeId="0" xr:uid="{8C4FC206-D55C-0C4A-93EB-F4426E42BBFA}">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36" authorId="1" shapeId="0" xr:uid="{98AFC3DA-5938-9D4D-B21C-6D44E4A5B66C}">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39" authorId="1" shapeId="0" xr:uid="{98E71488-145C-2844-BB38-F41359306B9E}">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42" authorId="1" shapeId="0" xr:uid="{77D09E51-2B5D-1D42-93AD-A5F1B4F3AB7A}">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45" authorId="1" shapeId="0" xr:uid="{6F9877C4-CE12-2947-9041-C041D69F8E81}">
      <text>
        <r>
          <rPr>
            <b/>
            <sz val="10"/>
            <color rgb="FF000000"/>
            <rFont val="Tahoma"/>
            <family val="2"/>
          </rPr>
          <t xml:space="preserve">If this value is unknown, make sure to leave this field EMPTY. </t>
        </r>
        <r>
          <rPr>
            <sz val="10"/>
            <color rgb="FF000000"/>
            <rFont val="Tahoma"/>
            <family val="2"/>
          </rPr>
          <t>If left empty, the calculations in the 'Facilitatory data' sheet will use a default value.</t>
        </r>
      </text>
    </comment>
    <comment ref="D284" authorId="1" shapeId="0" xr:uid="{33C259E6-886E-C14A-A541-F58B16D3B1D6}">
      <text>
        <r>
          <rPr>
            <b/>
            <sz val="10"/>
            <color rgb="FF000000"/>
            <rFont val="Tahoma"/>
            <family val="2"/>
          </rPr>
          <t xml:space="preserve">If this value is unknown, make sure to leave this field EMPTY. </t>
        </r>
        <r>
          <rPr>
            <sz val="10"/>
            <color rgb="FF000000"/>
            <rFont val="Tahoma"/>
            <family val="2"/>
          </rPr>
          <t>If left empty, the value will be calculated in the 'Facilitatory data' sheet, based on the inputs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tc={53CDE75C-48D1-4432-8508-72C682B051AD}</author>
  </authors>
  <commentList>
    <comment ref="P120" authorId="0" shapeId="0" xr:uid="{53CDE75C-48D1-4432-8508-72C682B051AD}">
      <text>
        <t>[Threaded comment]
Your version of Excel allows you to read this threaded comment; however, any edits to it will get removed if the file is opened in a newer version of Excel. Learn more: https://go.microsoft.com/fwlink/?linkid=870924
Comment:
    Gemiddeld festival meal is 200 gram</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tc={9B004A6D-491E-4C70-8F7B-D8FCBCD05984}</author>
    <author>tc={CE96629F-DAA5-4D0A-9784-BC047825490D}</author>
    <author>tc={B74BA55D-BD89-4CB7-9BC3-3FE38989AC44}</author>
    <author>tc={9FB2D85F-892C-4890-B0F6-E03705E27811}</author>
    <author>tc={0A5122D5-3271-4279-9196-F59AC7D4B751}</author>
    <author>tc={B1BEA46B-EA31-43A9-9E24-52F61AD24981}</author>
    <author>tc={2876BD06-00C7-485D-928D-5CC06295DB78}</author>
    <author>tc={9710973E-BAC6-4A7C-B150-493D6849608D}</author>
    <author>tc={97AFB1B0-635C-4193-91CB-584D121170F1}</author>
    <author>tc={6F52C8AE-47A8-418A-A645-AF382BDA6B79}</author>
    <author>tc={D7F063D2-A038-4FB4-BA62-97504B4EE0CB}</author>
    <author>tc={2E86A035-A77D-4B0B-936B-2917764E6243}</author>
    <author>tc={4D6192F3-4660-4803-9235-EB4FDEDE719F}</author>
    <author>tc={89311618-FB8B-46DA-859E-2D025C568183}</author>
    <author>tc={32C76E03-C546-4C71-B6AB-1ADA0043F0E3}</author>
    <author>tc={4C982198-325A-420E-84E3-72EBBF86B63A}</author>
    <author>tc={4513E867-02B6-4397-8ECF-BF1B2377FDD3}</author>
    <author>tc={05128B0E-118F-4138-AFAC-4B2AB0E08D5F}</author>
    <author>tc={0DC732D9-557F-494C-91EE-8324047EF606}</author>
    <author>tc={C84CA73D-465C-4A1A-83A5-CDBBCA967C1E}</author>
  </authors>
  <commentList>
    <comment ref="F287" authorId="0" shapeId="0" xr:uid="{9B004A6D-491E-4C70-8F7B-D8FCBCD05984}">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288" authorId="1" shapeId="0" xr:uid="{CE96629F-DAA5-4D0A-9784-BC047825490D}">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292" authorId="2" shapeId="0" xr:uid="{B74BA55D-BD89-4CB7-9BC3-3FE38989AC44}">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293" authorId="3" shapeId="0" xr:uid="{9FB2D85F-892C-4890-B0F6-E03705E27811}">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298" authorId="4" shapeId="0" xr:uid="{0A5122D5-3271-4279-9196-F59AC7D4B751}">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299" authorId="5" shapeId="0" xr:uid="{B1BEA46B-EA31-43A9-9E24-52F61AD24981}">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04" authorId="6" shapeId="0" xr:uid="{2876BD06-00C7-485D-928D-5CC06295DB78}">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05" authorId="7" shapeId="0" xr:uid="{9710973E-BAC6-4A7C-B150-493D6849608D}">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06" authorId="8" shapeId="0" xr:uid="{97AFB1B0-635C-4193-91CB-584D121170F1}">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12" authorId="9" shapeId="0" xr:uid="{6F52C8AE-47A8-418A-A645-AF382BDA6B79}">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13" authorId="10" shapeId="0" xr:uid="{D7F063D2-A038-4FB4-BA62-97504B4EE0CB}">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14" authorId="11" shapeId="0" xr:uid="{2E86A035-A77D-4B0B-936B-2917764E6243}">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19" authorId="12" shapeId="0" xr:uid="{4D6192F3-4660-4803-9235-EB4FDEDE719F}">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20" authorId="13" shapeId="0" xr:uid="{89311618-FB8B-46DA-859E-2D025C568183}">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23" authorId="14" shapeId="0" xr:uid="{32C76E03-C546-4C71-B6AB-1ADA0043F0E3}">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24" authorId="15" shapeId="0" xr:uid="{4C982198-325A-420E-84E3-72EBBF86B63A}">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30" authorId="16" shapeId="0" xr:uid="{4513E867-02B6-4397-8ECF-BF1B2377FDD3}">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31" authorId="17" shapeId="0" xr:uid="{05128B0E-118F-4138-AFAC-4B2AB0E08D5F}">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32" authorId="18" shapeId="0" xr:uid="{0DC732D9-557F-494C-91EE-8324047EF606}">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 ref="F333" authorId="19" shapeId="0" xr:uid="{C84CA73D-465C-4A1A-83A5-CDBBCA967C1E}">
      <text>
        <t>[Threaded comment]
Your version of Excel allows you to read this threaded comment; however, any edits to it will get removed if the file is opened in a newer version of Excel. Learn more: https://go.microsoft.com/fwlink/?linkid=870924
Comment:
    Retrieved from CO2-calculation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<sst xmlns="http://schemas.openxmlformats.org/spreadsheetml/2006/main" count="7425" uniqueCount="1933">
  <si>
    <t>Theme</t>
  </si>
  <si>
    <t>Indicator</t>
  </si>
  <si>
    <t>Data</t>
  </si>
  <si>
    <t>Format</t>
  </si>
  <si>
    <t>Data info</t>
  </si>
  <si>
    <t>Comments</t>
  </si>
  <si>
    <t>What data should be filled in…</t>
  </si>
  <si>
    <t>Short User instructions</t>
  </si>
  <si>
    <t>The input sheet is ordered according to 'Themes'. Every theme has its own color. The Themes are ordered in sub themes.</t>
  </si>
  <si>
    <t>In the 'Question' column the required data is being specified, that needs to be filled in the 'Data' column.</t>
  </si>
  <si>
    <t xml:space="preserve">Always fill in the boxes in the 'Data' column. It is better - if at all reasonably possible - to make an educated guess, than to fill in nothing. </t>
  </si>
  <si>
    <t>If the data is unknown, please leave data box blank and use the 'No data source' option in the 'Data info' column. If the data requested is not applicable to your specific event, leave data box blank and use the 'Not applicable' option in the 'Data info' column. If data value is zero fill in '0'.</t>
  </si>
  <si>
    <t>The 'Format' column specifies the requested 'unit' or 'format' of the data to be filled in the 'Data' column; kg, km, liter, etc..</t>
  </si>
  <si>
    <t>Color coding</t>
  </si>
  <si>
    <t>Light yellow are the data input boxes. Here you fill in the data that is being requested in the format that is listed behind each box. Only fill the boxes for this specific year.</t>
  </si>
  <si>
    <t>Always fill in every box in the 'Data info' column. Here you can specify the data source, or if something is not applicable or not.</t>
  </si>
  <si>
    <t>Darker yellow are the data input drop-down boxes. Here you can choose an option that best represents your data</t>
  </si>
  <si>
    <t>The 'Comments' column can be filled in if specification of certain data is needed or adds context.</t>
  </si>
  <si>
    <t>Green are the comment boxes. Here you can comment on the data if needed, it can also be left blank</t>
  </si>
  <si>
    <t>In 'What should be filled in…' column additional information is provided about what data is requested in the 'Question' column.</t>
  </si>
  <si>
    <t>The 'thematic' tabs below are empty and can be used for gathering and organising your data.</t>
  </si>
  <si>
    <t xml:space="preserve">For further support use the 'Manual' tab below or use the 'User Guide' for general info </t>
  </si>
  <si>
    <t>GENERAL</t>
  </si>
  <si>
    <t>Festival name</t>
  </si>
  <si>
    <t>name</t>
  </si>
  <si>
    <t>N/A</t>
  </si>
  <si>
    <t>Start date</t>
  </si>
  <si>
    <t xml:space="preserve">dd-mm-yyyy </t>
  </si>
  <si>
    <t>Number of days</t>
  </si>
  <si>
    <t>amount</t>
  </si>
  <si>
    <t>Number of festival days</t>
  </si>
  <si>
    <t>Location: city/municipality</t>
  </si>
  <si>
    <t>Where the festival is held</t>
  </si>
  <si>
    <t>Location: Country</t>
  </si>
  <si>
    <t>Netherlands</t>
  </si>
  <si>
    <t>country name</t>
  </si>
  <si>
    <t>Which country is the festival located in</t>
  </si>
  <si>
    <t>Type of festival: Open or Enclosed</t>
  </si>
  <si>
    <t>List of options</t>
  </si>
  <si>
    <t>Type of festival: Urban or Rural</t>
  </si>
  <si>
    <t>Choose 'Urban' (in or very close to a city) or 'Rural' (not in or very close to a city)</t>
  </si>
  <si>
    <t>Type of festival: Indoor or Outdoor</t>
  </si>
  <si>
    <t>Type of festival: Own festival campsite or not</t>
  </si>
  <si>
    <t>Weather type</t>
  </si>
  <si>
    <t>Temperature</t>
  </si>
  <si>
    <t>°C</t>
  </si>
  <si>
    <t>Calculate average temperature over full festival period by using local weather data. Add all the average day temperatures and divide them through the amount of festival days.</t>
  </si>
  <si>
    <t>Number of visitors</t>
  </si>
  <si>
    <t>1-day visitors</t>
  </si>
  <si>
    <t>2-day visitors</t>
  </si>
  <si>
    <t>Fill in all 2 day visitors: total number of 2-day tickets sold for the event + all 2 day guests, etc.…</t>
  </si>
  <si>
    <t>3-day visitors</t>
  </si>
  <si>
    <t>Fill in all 3 day visitors: total number of 2-day tickets sold for the event + all 3 day guests, etc.…</t>
  </si>
  <si>
    <t>4-day visitors</t>
  </si>
  <si>
    <t>Fill in all 4 day visitors: total number of 2-day tickets sold for the event + all 4 day guests, etc.…</t>
  </si>
  <si>
    <t>5-day visitors</t>
  </si>
  <si>
    <t>Fill in all 5 day visitors: total number of 2-day tickets sold for the event + all 5 day guests, etc.…</t>
  </si>
  <si>
    <t>6-day visitors</t>
  </si>
  <si>
    <t>Fill in all 6 day visitors: total number of 2-day tickets sold for the event + all 6 day guests, etc.…</t>
  </si>
  <si>
    <t>7-day visitors</t>
  </si>
  <si>
    <t>Fill in all 7 day visitors: total number of 2-day tickets sold for the event + all 7 day guests, etc.…</t>
  </si>
  <si>
    <t>8-day visitors</t>
  </si>
  <si>
    <t>Fill in all 8 day visitors: total number of 2-day tickets sold for the event + all 8 day guests, etc.…</t>
  </si>
  <si>
    <t>9-day visitors</t>
  </si>
  <si>
    <t>Fill in all 9 day visitors: total number of 2-day tickets sold for the event + all 9 day guests, etc.…</t>
  </si>
  <si>
    <t>10-day visitors</t>
  </si>
  <si>
    <t>Fill in all 10 day visitors: total number of 2-day tickets sold for the event + all 10 day guests, etc.…</t>
  </si>
  <si>
    <t>10+ day visitors</t>
  </si>
  <si>
    <t>Fill in all visitors that were there for more then 10 days: total number of 10+-day tickets sold for the event + all 10+ day guests, etc.…</t>
  </si>
  <si>
    <t>Number of artists, crew and suppliers</t>
  </si>
  <si>
    <t>Number of artists</t>
  </si>
  <si>
    <t>Including all people traveling with the artist: band members, managers, crew, etc.</t>
  </si>
  <si>
    <t>Number of crew + volunteers</t>
  </si>
  <si>
    <t>Including all fixed/ freelance crew and volunteers that are working at the festival and are employed by the festival</t>
  </si>
  <si>
    <t>Number of suppliers + contractors</t>
  </si>
  <si>
    <t>Including all personnel of suppliers, contractors and everyone coming along to the festival with them</t>
  </si>
  <si>
    <t>ENERGY</t>
  </si>
  <si>
    <t>Stationary electricity consumption on site (excluding mobile or building equipment!!)</t>
  </si>
  <si>
    <t>Renewable electricity from grid</t>
  </si>
  <si>
    <t>kWh</t>
  </si>
  <si>
    <t xml:space="preserve">All used electricity from grid that was produced by wind, sun, or other zero emission fully renewable production. EXCLUDING: onsite transportation and building equipment, please fill these in at the INTERNAL TRANSPORT section, below. </t>
  </si>
  <si>
    <t>Non-renewable electricity from grid</t>
  </si>
  <si>
    <t xml:space="preserve">All used electricity from the grid that was produced from non-renewable energy sources like diesel, coal, natural gas and nuclear. EXCLUDING: onsite transportation and building equipment, please fill these in at the INTERNAL TRANSPORT section, below.  </t>
  </si>
  <si>
    <t>Renewable electricity locally produced</t>
  </si>
  <si>
    <t>Including all fully renewable zero emission electricity produced on the festival site itself. This excludes bio-fuels since there is a separate category (see below).</t>
  </si>
  <si>
    <t>Renewable electricity from batteries</t>
  </si>
  <si>
    <t>Including all electricity used from fully renewable zero emission sources brought to the festival in a battery. When batteries are mainly used for cycling or peak shaving ONLY count the kWh difference between the charge of the battery at arrival and when it leaves the festival. Please be aware of double counting: DO NOT count the electricity that is already reported in the fields for grid electricity or local generation.</t>
  </si>
  <si>
    <t>Non-renewable electricity from batteries</t>
  </si>
  <si>
    <t>Including all electricity used from fossil and nuclear sources brought to the festival in a battery.  When batteries are mainly used for cycling or peak shaving ONLY count the kWh difference between the charge of arrival and when it leaves the festival. Please be aware of double counting: DO NOT count the electricity that is already reported in the fields for grid electricity or local generation.</t>
  </si>
  <si>
    <t>Stationary fuel consumption on site (excluding mobile or building equipment!!)</t>
  </si>
  <si>
    <t>Fossil diesel for generators</t>
  </si>
  <si>
    <t>litres</t>
  </si>
  <si>
    <t xml:space="preserve">Use of fossil diesel on the festival site for stationary purposes (generators, heaters, etc.) SO EXCLUDING: onsite transportation and building equipment, please fill these in at the INTERNAL TRANSPORT section, below. </t>
  </si>
  <si>
    <t>Sustainable biofuel (HVO-UCO/Tall B100) for generators</t>
  </si>
  <si>
    <t xml:space="preserve">Total use of sustainable biofuel (2nd generation biofuel HVO-UCO/Tall B100) on site for stationary purposes (generators, heaters, etc.) SO EXCLUDING: onsite transportation and building equipment, please fill these in at the INTERNAL TRANSPORT section, below. </t>
  </si>
  <si>
    <t>Green hydrogen for generators</t>
  </si>
  <si>
    <t>kg</t>
  </si>
  <si>
    <t>Total use of GREEN HYDROGEN (hydrogen generated from RENEWABLE energy) on site for stationary purposes. SO EXCLUDING: onsite transportation and building equipment, please fill these in at the INTERNAL TRANSPORT section, below. For conversion of liters to kg please use this tool: https://allesoverwaterstof.nl/calculator/ (also in english)</t>
  </si>
  <si>
    <t>Grey hydrogen for generators</t>
  </si>
  <si>
    <t>Total use of GREY HYDROGEN (hydrogen generated from NON-RENEWABLE energy) on site for stationary purposes. SO EXCLUDING: onsite transportation and building equipment, please fill these in at the INTERNAL TRANSPORT section, below. For conversion of liters to kg please use this tool: https://allesoverwaterstof.nl/calculator/ (also in english)</t>
  </si>
  <si>
    <t xml:space="preserve">Natural gas from grid </t>
  </si>
  <si>
    <t>Nm3</t>
  </si>
  <si>
    <t xml:space="preserve">All onsite fossil natural gas usage that was procured through the national gas grid / pipes. Including fossil gas for heating of water and air. SO EXCLUDING: onsite transportation and building equipment, please fill these in at the INTERNAL TRANSPORT section, below. </t>
  </si>
  <si>
    <t>Natural gas from bottles</t>
  </si>
  <si>
    <t xml:space="preserve">All onsite fossil natural gas usage that was transported in bottles. Including gas for cooking by vendors and catering. SO EXCLUDING: onsite transportation and building equipment, please fill these in at the INTERNAL TRANSPORT section, below. </t>
  </si>
  <si>
    <t>Biogas from bottles and grid</t>
  </si>
  <si>
    <t xml:space="preserve">All onsite biogas usage that was transported in bottles. Including biogas for cooking by vendors and caterers. SO EXCLUDING: onsite transportation and building equipment, please fill these in at the INTERNAL TRANSPORT section, below. </t>
  </si>
  <si>
    <t>MATERIALS</t>
  </si>
  <si>
    <t>Extra Info</t>
  </si>
  <si>
    <r>
      <rPr>
        <i/>
        <sz val="12"/>
        <color rgb="FF000000"/>
        <rFont val="Calibri"/>
        <family val="2"/>
      </rPr>
      <t xml:space="preserve">The 'MATERIALS' theme is divided into 2 categories:
</t>
    </r>
    <r>
      <rPr>
        <b/>
        <i/>
        <sz val="12"/>
        <color rgb="FF000000"/>
        <rFont val="Calibri"/>
        <family val="2"/>
      </rPr>
      <t>1. Procurement</t>
    </r>
    <r>
      <rPr>
        <i/>
        <sz val="12"/>
        <color rgb="FF000000"/>
        <rFont val="Calibri"/>
        <family val="2"/>
      </rPr>
      <t xml:space="preserve">, this category administrates the production emissions, weight and material origin of bought materials. The measured factors for the procured materials are assigned to the year they were procured in, also for materials that are used over multiple years.
NOTE: The GDCF Model (and the dashboard) distinguishes between circular and non-circular procurement. The Model recognises all second hand, recycled, or bio-based products and materials as circular procurement. All virgin products and materials that are not bio-based are considered non-circular procurement.
</t>
    </r>
    <r>
      <rPr>
        <b/>
        <i/>
        <sz val="12"/>
        <color rgb="FF000000"/>
        <rFont val="Calibri"/>
        <family val="2"/>
      </rPr>
      <t>2. The end of life materials</t>
    </r>
    <r>
      <rPr>
        <i/>
        <sz val="12"/>
        <color rgb="FF000000"/>
        <rFont val="Calibri"/>
        <family val="2"/>
      </rPr>
      <t xml:space="preserve"> - also sometimes known as, consumption materials - is a category that administers the emissions, weight and recycling/disposal methods for the used materials. Here all materials should be counted that, at the end of the festival have ended up in recycling, incineration, or landfill (with the addition of reused tableware).
Examples: </t>
    </r>
    <r>
      <rPr>
        <b/>
        <i/>
        <sz val="12"/>
        <color rgb="FF000000"/>
        <rFont val="Calibri"/>
        <family val="2"/>
      </rPr>
      <t>Procured materials</t>
    </r>
    <r>
      <rPr>
        <i/>
        <sz val="12"/>
        <color rgb="FF000000"/>
        <rFont val="Calibri"/>
        <family val="2"/>
      </rPr>
      <t xml:space="preserve">; all </t>
    </r>
    <r>
      <rPr>
        <b/>
        <i/>
        <sz val="12"/>
        <color rgb="FF000000"/>
        <rFont val="Calibri"/>
        <family val="2"/>
      </rPr>
      <t>BOUGHT</t>
    </r>
    <r>
      <rPr>
        <i/>
        <sz val="12"/>
        <color rgb="FF000000"/>
        <rFont val="Calibri"/>
        <family val="2"/>
      </rPr>
      <t xml:space="preserve"> textile crew-shirts, textile merchandise, wooden planks for decoration, plastic reusable tableware, are counted as kilograms of procured materials. DO NOT count rented/leased or reused materials of previous years.
</t>
    </r>
    <r>
      <rPr>
        <b/>
        <i/>
        <sz val="12"/>
        <color rgb="FF000000"/>
        <rFont val="Calibri"/>
        <family val="2"/>
      </rPr>
      <t>End of life materials</t>
    </r>
    <r>
      <rPr>
        <i/>
        <sz val="12"/>
        <color rgb="FF000000"/>
        <rFont val="Calibri"/>
        <family val="2"/>
      </rPr>
      <t xml:space="preserve">; all </t>
    </r>
    <r>
      <rPr>
        <b/>
        <i/>
        <sz val="12"/>
        <color rgb="FF000000"/>
        <rFont val="Calibri"/>
        <family val="2"/>
      </rPr>
      <t>THROWN AWAY</t>
    </r>
    <r>
      <rPr>
        <i/>
        <sz val="12"/>
        <color rgb="FF000000"/>
        <rFont val="Calibri"/>
        <family val="2"/>
      </rPr>
      <t xml:space="preserve"> or </t>
    </r>
    <r>
      <rPr>
        <b/>
        <i/>
        <sz val="12"/>
        <color rgb="FF000000"/>
        <rFont val="Calibri"/>
        <family val="2"/>
      </rPr>
      <t xml:space="preserve">DISPOSED OF </t>
    </r>
    <r>
      <rPr>
        <i/>
        <sz val="12"/>
        <color rgb="FF000000"/>
        <rFont val="Calibri"/>
        <family val="2"/>
      </rPr>
      <t>(at the festival site) textile crew shirts, plastic merchandise wrappers, wooden decor planks, organic waste, paper program booklets, residual waste. DO NOT count materials that are rented/leased, or materials that will be reused in upcoming editions.</t>
    </r>
  </si>
  <si>
    <t>PROCURED MATERIALS</t>
  </si>
  <si>
    <t>All material PROCURED by the festival in kilograms in this year. DO NOT include materials rented/leased or bought in earlier years. Make distinction between procured NEW (virgin materials) and RECYCLED / SECOND HAND materials. The GDCF Model distinguishes CIRCULAR, and NOT CIRCULAR materials, where circular procurement is defined as the procurement of bio-based, recycled, or reused materials.</t>
  </si>
  <si>
    <t>Procured new materials - general categories</t>
  </si>
  <si>
    <t>Aluminum procured - virgin</t>
  </si>
  <si>
    <t>All procured NEW aluminum by the festival in kilograms in this year. The procurement of material reported in this row is regarded as NOT CIRCULAR.
Do NOT include materials rented/leased or procured in earlier years. Examples;  stage materials, sound equipment, decoration, props, merchandise, equipment, crew clothing, etc.</t>
  </si>
  <si>
    <t>Aluminum procured - recycled / second hand</t>
  </si>
  <si>
    <t>All procured RECYCLED or SECOND HAND aluminum by the festival in kilograms in this year. The procurement of material reported in this row is regarded as CIRCULAR.
Do NOT include materials rented/leased or procured in earlier years. Examples;  stage materials, sound equipment, decoration, props, merchandise, equipment, crew clothing, etc.</t>
  </si>
  <si>
    <t>Steel procured - virgin</t>
  </si>
  <si>
    <t>All procured NEW steel by the festival in kilograms in this year. The procurement of material in this row is regarded as NOT CIRCULAR.
Do NOT include materials rented/leased or procured in earlier years. Examples;  stage materials, sound equipment, decoration, props, merchandise, equipment, crew clothing, etc.</t>
  </si>
  <si>
    <t>Steel procured - recycled / second hand</t>
  </si>
  <si>
    <t>All procured RECYCLED or SECOND HAND steel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</si>
  <si>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(Other) metals procured - virgin</t>
  </si>
  <si>
    <t>All procured NEW (other) metals by the festival in kilograms in this year. The procurement of material in this row is regarded as NOT CIRCULAR.
Do NOT include materials rented/leased or procured in earlier years. Examples;  stage materials, sound equipment, decoration, props, merchandise, equipment, crew clothing, etc.</t>
  </si>
  <si>
    <t>(Other) metals procured - recycled / second hand</t>
  </si>
  <si>
    <t>All procured RECYCLED or SECOND HAND (other) metals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</si>
  <si>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Wood procured - virgin</t>
  </si>
  <si>
    <t>All procured NEW wood by the festival in kilograms in this year. The procurement of material in this row is regarded as CIRCULAR (bio-based).
Do NOT include materials rented/leased or procured in earlier years. Examples;  stage materials, sound equipment, decoration, props, merchandise, equipment, crew clothing, etc.</t>
  </si>
  <si>
    <t>Wood procured - recycled / second hand</t>
  </si>
  <si>
    <t>All procured RECYCLED or SECOND HAND wood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</si>
  <si>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Synthetic textiles procured - virgin</t>
  </si>
  <si>
    <t>All procured NEW synthetic textiles (woven or knitted materials from fossil/non-renewable origins) by the festival in kilograms in this year. The procurement of material reported in this row is regarded as NOT CIRCULAR.
Do NOT include materials rented/leased or procured in earlier years. Examples;  stage materials, sound equipment, decoration, props, merchandise, equipment, crew clothing, etc.</t>
  </si>
  <si>
    <t>Synthetic textiles procured - recycled / second hand</t>
  </si>
  <si>
    <t>All procured RECYCLED or SECOND HAND synthetic textiles (woven or knitted materials from fossil/non-renewable origins) by the festival in kilograms in this year. The procurement of material reported in this row is regarded as CIRCULAR.
Do NOT include materials rented/leased or procured in earlier years. Examples;  stage materials, sound equipment, decoration, props, merchandise, equipment, crew clothing, etc.</t>
  </si>
  <si>
    <t>Bio-based textiles procured - virgin</t>
  </si>
  <si>
    <t>All procured NEW bio-based textiles (woven or knitted materials from natural/renewable origins) by the festival in kilograms in this year. The procurement of material in this row is regarded as CIRCULAR (bio-based).
Do NOT include materials rented/leased or procured in earlier years. Examples;  stage materials, sound equipment, decoration, props, merchandise, equipment, crew clothing, etc.</t>
  </si>
  <si>
    <t>Bio-based textiles procured - recycled / second hand</t>
  </si>
  <si>
    <t>All procured RECYCLED or SECOND HAND bio-based textiles (woven or knitted materials from natural/renewable origins)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</si>
  <si>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Synthetic plastics procured - virgin</t>
  </si>
  <si>
    <t>All procured NEW plastics by the festival in kilograms in this year. The procurement of material in this row is regarded as NOT CIRCULAR.
Do NOT include materials rented/leased or procured in earlier years. Examples;  stage materials, sound equipment, decoration, props, merchandise, equipment, crew clothing, etc.</t>
  </si>
  <si>
    <t>Synthetic plastics procured - recycled / second hand</t>
  </si>
  <si>
    <t>All procured RECYCLED or SECOND HAND plastics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</si>
  <si>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Bio-based plastics procured - virgin</t>
  </si>
  <si>
    <t>All procured NEW bio-based plastics (e.g. PLA, bio-PE, bio-PP) by the festival in kilograms in this year. The procurement of material in this row is regarded as CIRCULAR (bio-based).
Do NOT include materials rented/leased or procured in earlier years. Examples;  stage materials, sound equipment, decoration, props, merchandise, equipment, crew clothing, etc.</t>
  </si>
  <si>
    <t>Bio-based plastics procured - recycled / second hand</t>
  </si>
  <si>
    <t>All procured RECYCLED or SECOND HAND bio-based plastics (e.g. PLA, bio-PE, bio-PP)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</si>
  <si>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Paper procured - virgin</t>
  </si>
  <si>
    <t>All procured NEW paper by the festival in kilograms in this year. The procurement of material in this row is regarded as CIRCULAR (bio-based).
Do NOT include materials rented/leased or procured in earlier years. Examples;  stage materials, sound equipment, decoration, props, merchandise, equipment, crew clothing, etc.</t>
  </si>
  <si>
    <t>Paper procured - recycled / second hand</t>
  </si>
  <si>
    <t>All procured RECYCLED or SECOND HAND paper by the festival in kilograms in this year. The procurement of material in this row is regarded as CIRCULAR.
Do NOT include materials rented/leased or procured in earlier years. Examples;  stage materials, sound equipment, decoration, props, merchandise, equipment, crew clothing, etc.</t>
  </si>
  <si>
    <t>END OF LIFE MATERIALS: Reuse, Recycling, Residual waste</t>
  </si>
  <si>
    <t>Fill in all materials that left the festival after they were used. Do NOT include materials rented/leased. Examples: Residual waste, all materials that were accepted for recycling, table ware (reusable and recyclable), etc.</t>
  </si>
  <si>
    <t>Reusable cups, tableware and cutlery</t>
  </si>
  <si>
    <t>Reusable cups</t>
  </si>
  <si>
    <t>number of items</t>
  </si>
  <si>
    <t>Fill in the total number of used REUSABLE CUPS (warm and cold drinks). This does not include the UNUSED items that were rented/procured and returned.</t>
  </si>
  <si>
    <t>Percentage missing reusable cups</t>
  </si>
  <si>
    <t>%</t>
  </si>
  <si>
    <t>Fill in the PERCENTAGE of used REUSABLE CUPS (warm and cold drinks) THAT WAS LOST, or declared DAMAGED by the rental/service company. This does not include the UNUSED Items that were rented/procured and returned.</t>
  </si>
  <si>
    <t>Reusable tableware</t>
  </si>
  <si>
    <t>Fill in the total number of used REUSABLE TABLEWARE (Plates, Bowls, baskets, etc.). This does not include the UNUSED items that were rented/procured and returned.</t>
  </si>
  <si>
    <t xml:space="preserve">Percentage missing tableware </t>
  </si>
  <si>
    <t>Fill in the PERCENTAGE of used REUSABLE TABLEWARE (Plates, Bowls, baskets, etc.) THAT WAS LOST, or declared DAMAGED by the rental/service company. This does not include the UNUSED cups that were rented/procured and returned.</t>
  </si>
  <si>
    <t>Reusable cutlery</t>
  </si>
  <si>
    <t>Fill in the total number of used REUSABLE CUTLERY (Forks, Knives, Spoons, Sporks, etc.). This does not include the UNUSED items that were rented/procured and returned.</t>
  </si>
  <si>
    <t>Percentage missing reusable cutlery</t>
  </si>
  <si>
    <t>Fill in the PERCENTAGE of used REUSABLE CUTLERY (Forks, Knives, Spoons, Sporks, etc.) THAT WAS LOST, or declared DAMAGED by the rental/service company. This does not include the UNUSED items that were rented/procured and returned.</t>
  </si>
  <si>
    <t>Recyclable single use cups, tableware and cutlery</t>
  </si>
  <si>
    <t>Single-use cups - virgin plastic</t>
  </si>
  <si>
    <t>Fill in the total number of used SINGLE USE CUPS made from virgin synthetic plastics. This does not include the UNUSED items that were rented/procured and returned. (Calculating with an average of 10gr per cup)</t>
  </si>
  <si>
    <t>Single-use cups - recycled plastic or biobased material</t>
  </si>
  <si>
    <t>Fill in the total number of used SINGLE USE CUPS made from recycled plastic or bio-based materials. This does not include the UNUSED items that were rented/procured and returned. (Calculating with an average of 10gr per cup)</t>
  </si>
  <si>
    <t>Recycling percentage/composting single-use cups</t>
  </si>
  <si>
    <t>Fill in the PERCENTAGE of used SINGLE USE CUPS that was SUCCESFULLY RECYCLED OR COMPOSTED. This does not include the UNUSED Items that were rented/procured and returned.</t>
  </si>
  <si>
    <t>Single-use tableware - virgin plastic</t>
  </si>
  <si>
    <t>Fill in the total number of used SINGLE USE TABLEWARE (HOT DRINK CUPS, Plates, Bowls, baskets, etc.) made from virgin synthetic plastics. This does not include the UNUSED items that were rented/procured and returned. (Calculating with an average of 19gr per tableware item)</t>
  </si>
  <si>
    <t>Single-use tableware - recycled plastic or biobased material</t>
  </si>
  <si>
    <t>Fill in the total number of used SINGLE USE TABLEWARE (HOT DRINK CUPS, Plates, Bowls, baskets, etc.) made from recycled plastic or bio-based materials. This does not include the UNUSED items that were rented/procured and returned. (Calculating with an average of 19gr per tableware item)</t>
  </si>
  <si>
    <t>Recycling/composting percentage single-use tableware</t>
  </si>
  <si>
    <t>Fill in the PERCENTAGE of used SINGLE USE TABLEWARE (HOT DRINK CUPS, Plates, Bowls, baskets, etc.) that was SUCCESSFULLY RECYCLED OR COMPOSTED. This does not include the UNUSED cups that were rented/procured and returned.</t>
  </si>
  <si>
    <t>Single-use cutlery - virgin plastic</t>
  </si>
  <si>
    <t>Fill in the total number of used SINGLE USE CUTLERY (Forks, Knives, Spoons, Sporks, etc.) made from virgin synthetic plastics. This does not include the UNUSED items that were rented/procured and returned. (Calculating with an average of 10gr per cutlery item)</t>
  </si>
  <si>
    <t>Single-use cutlery - recycled plastic or biobased material</t>
  </si>
  <si>
    <t>Fill in the total number of used SINGLE USE CUTLERY (Forks, Knives, Spoons, Sporks, etc.) made from recycled plastic or bio-based materials. This does not include the UNUSED items that were rented/procured and returned. (Calculating with an average of 10gr per cutlery item)</t>
  </si>
  <si>
    <t>Recycling/composting percentage single-use cutlery</t>
  </si>
  <si>
    <t>Fill in the PERCENTAGE of used SINGLE USE CUTLERY (Forks, Knives, Spoons, Sporks, etc.) that was SUCCESSFULLY RECYCLED OR COMPOSTED. This does not include the UNUSED items that were rented/procured and returned.</t>
  </si>
  <si>
    <t>Recycled Materials</t>
  </si>
  <si>
    <t>In the recycling section only 'Recycled' materials should be filled in. Everything that is being 'Reused' should not be filled in (except Reusable Tableware/cups). Everything that is being incinerated/landfilled fill in the next section 'Residual Waste'.</t>
  </si>
  <si>
    <t>Paper/cardboard accepted for recycling</t>
  </si>
  <si>
    <t>All paper/cardboard in kilograms that was collected as a clean material flow, and was accepted by a recycling company.</t>
  </si>
  <si>
    <t>Glass accepted for recycling</t>
  </si>
  <si>
    <t>All glass in kilograms, that was collected as a clean material flow, and was accepted by a recycling company.</t>
  </si>
  <si>
    <t>PMD or mixed packaging accepted for recycling</t>
  </si>
  <si>
    <t>All PMD / mixed packaging in kilograms, that was collected as a clean material flow, and was accepted by a recycling company.</t>
  </si>
  <si>
    <t>Plastic accepted for recycling</t>
  </si>
  <si>
    <t>All plastic in kilograms that was collected as a clean material flow, and was accepted by a recycling company.</t>
  </si>
  <si>
    <t>Aluminum accepted for recycling</t>
  </si>
  <si>
    <t>All aluminium in kilograms, that was collected as a clean material flow, and was accepted by a recycling company.</t>
  </si>
  <si>
    <t>Metals accepted for recycling</t>
  </si>
  <si>
    <t>All metals in kilograms that were collected as a clean material flow, and was accepted by a recycling company.</t>
  </si>
  <si>
    <t>Organic / food waste accepted for composting/fermenting</t>
  </si>
  <si>
    <t>All organic material in kilograms that was collected as a clean material flow, and were accepted by a composting/fermenting company.</t>
  </si>
  <si>
    <t>Cooking oil accepted for refining</t>
  </si>
  <si>
    <t>All used cooking oil in liters, that was collected as a clean material flow, and was accepted by a refining company.</t>
  </si>
  <si>
    <t>Wood accepted for recycling</t>
  </si>
  <si>
    <t>All wood (A &amp; B grade) in kilograms that was collected as a clean material flow, and was accepted by a recycling company.</t>
  </si>
  <si>
    <t>Building / demolition waste accepted for recycling</t>
  </si>
  <si>
    <t>All building / demolition materials in kilograms that were collected as a clean material flow, and were accepted by a recycling company.</t>
  </si>
  <si>
    <t>Residual Waste</t>
  </si>
  <si>
    <t xml:space="preserve">Incineration after post separation </t>
  </si>
  <si>
    <t>All residual (or general) waste in kilograms that was collected and was accepted by a waste company for post separation. In general post-separation 'saves' about 30% in weight of the residual waste, from incineration.</t>
  </si>
  <si>
    <t>Incineration with energy recovery</t>
  </si>
  <si>
    <t xml:space="preserve">All residual (or general) waste in kilograms that was collected and was accepted by a waste company for incineration with energy recovery.  </t>
  </si>
  <si>
    <t>Incineration without energy recovery</t>
  </si>
  <si>
    <t xml:space="preserve">All residual (or general) waste in kilograms that was collected and was accepted by a waste company for incineration without energy recovery.  </t>
  </si>
  <si>
    <t>Landfilled</t>
  </si>
  <si>
    <t xml:space="preserve">All residual (or general) waste in kilograms that was collected and was accepted by a waste company for landfilling.  </t>
  </si>
  <si>
    <t>TRAVEL &amp; TRANSPORT</t>
  </si>
  <si>
    <r>
      <t xml:space="preserve">In the travel section - for visitors, Artists, Crew and Volunteers - it is primarily about the </t>
    </r>
    <r>
      <rPr>
        <b/>
        <i/>
        <sz val="12"/>
        <rFont val="Calibri"/>
        <family val="2"/>
      </rPr>
      <t>MAIN MEANS OF TRAVEL</t>
    </r>
    <r>
      <rPr>
        <i/>
        <sz val="12"/>
        <rFont val="Calibri"/>
        <family val="2"/>
      </rPr>
      <t xml:space="preserve">. Always fill in the average km and percentages for the MAIN MEANS OF TRAVEL = the modality that people used the longest on their way to the event (so not the first or last mile). For standard forms of first/last mile transport an extra optional section has been added at the end of each section; shuttle or ship/ferry. 
</t>
    </r>
    <r>
      <rPr>
        <b/>
        <i/>
        <sz val="12"/>
        <rFont val="Calibri"/>
        <family val="2"/>
      </rPr>
      <t>The km boxes;</t>
    </r>
    <r>
      <rPr>
        <i/>
        <sz val="12"/>
        <rFont val="Calibri"/>
        <family val="2"/>
      </rPr>
      <t xml:space="preserve"> When the data is known it can be filled in as an average single journey in km per modality per traveler. When the data left open (select 'no data' in column F) the tool will use an average; short 7,5km, medium vistors&amp;crew 80 km/artists 200 km, long vistors&amp;crew 750 km/artists 2500 km.
</t>
    </r>
    <r>
      <rPr>
        <b/>
        <i/>
        <sz val="12"/>
        <rFont val="Calibri"/>
        <family val="2"/>
      </rPr>
      <t>The percentage boxes</t>
    </r>
    <r>
      <rPr>
        <i/>
        <sz val="12"/>
        <rFont val="Calibri"/>
        <family val="2"/>
      </rPr>
      <t xml:space="preserve">: Always fill in percentages per main means of travel (modality), which are easiest obtained through a visitor survey afterwards. The percentage boxes together must add up to 100% (cells are RED when not 100% and turn GREEN when 100%).
</t>
    </r>
    <r>
      <rPr>
        <b/>
        <i/>
        <sz val="12"/>
        <rFont val="Calibri"/>
        <family val="2"/>
      </rPr>
      <t>Example</t>
    </r>
    <r>
      <rPr>
        <i/>
        <sz val="12"/>
        <rFont val="Calibri"/>
        <family val="2"/>
      </rPr>
      <t xml:space="preserve">: Visitor came by bus to the international airport and took the plane to the airport nearest to the event and then took the festival shuttle to the event, calculate: x km by airplane (main means of travel) and x km by shuttle (other means of transport). If a visitor traveled by bicycle and then by train and walked the last bit, it should be counted as: x km by train (main means of travel). If a visitor walks from their house to the event: x km by foot (main means of travel).
</t>
    </r>
  </si>
  <si>
    <t>VISITORS</t>
  </si>
  <si>
    <t>Visitors MAIN MEANS OF TRAVEL</t>
  </si>
  <si>
    <t>In this section  We ask only for the means of travel (modalities) people used as their MAIN MEANS of travel. So the modality (bicycle, car, train, airplane, etc.) they traveled the longest distance in to get to the event.</t>
  </si>
  <si>
    <t xml:space="preserve">Percentage of VISITORS on FOOT or BICYCLE </t>
  </si>
  <si>
    <t>Fill in the percentage of visitors that came to the festival by FOOT or BICYCLE as their MAIN MEANS OF TRAVEL (NOT first or the last mile transport means). All 'main means of travel' % boxes need to add up together to 100%</t>
  </si>
  <si>
    <t>Average distance VISITORS on FOOT or BICYCLE (one-way)</t>
  </si>
  <si>
    <t>km</t>
  </si>
  <si>
    <t>Percentage of VISITORS by METRO or TRAM</t>
  </si>
  <si>
    <t>Fill in the percentage of visitors that came to the festival by METRO or TRAM as their MAIN MEANS OF TRAVEL. (NOT first or the last mile transport means) All 'main means of travel' % boxes need to add up together to 100%</t>
  </si>
  <si>
    <t>Average distance VISITORS by METRO or TRAM (one-way)</t>
  </si>
  <si>
    <t>Percentage of VISITORS by LOCAL BUS on FOSSIL FUEL</t>
  </si>
  <si>
    <t>Fill in the percentage of visitors that came to the festival by LOCAL BUS on FOSSIL FUEL as their MAIN MEANS OF TRAVEL. (NOT first or the last mile transport means). All 'main means of travel' % boxes need to add up together to 100%</t>
  </si>
  <si>
    <t>Average distance VISITORS by LOCAL BUS ON FOSSIL FUEL (one-way)</t>
  </si>
  <si>
    <t>Percentage of VISITORS by LOCAL BUS ELECTRIC or on BIOFUEL</t>
  </si>
  <si>
    <t>Fill in the percentage of visitors that came to the festival by LOCAL BUS ELECTRIC or on BIOFUEL as their MAIN MEANS OF TRAVEL. (NOT first or the last mile transport means). All 'main means of travel' % boxes need to add up together to 100%</t>
  </si>
  <si>
    <t>Average distance VISITORS by LOCAL BUS ELECTRIC or BIOFUEL (one-way)</t>
  </si>
  <si>
    <t>Percentage of VISITORS by CAR or TAXI on FOSSIL FUEL</t>
  </si>
  <si>
    <t>Fill in the percentage of visitors that came to the festival by CAR or TAXI on FOSSIL FUEL as their MAIN MEANS OF TRAVEL (NOT first or the last mile transport means). All 'main means of travel' % boxes need to add up together to 100%</t>
  </si>
  <si>
    <t>Average distance VISITORS by CAR or TAXI on FOSSIL FUEL (one-way)</t>
  </si>
  <si>
    <t>Average number VISITORS per vehicle</t>
  </si>
  <si>
    <t>number of people</t>
  </si>
  <si>
    <t xml:space="preserve">Percentage VISITORS by ELECTRIC OR BIOFUEL CAR or TAXI </t>
  </si>
  <si>
    <t>Fill in the percentage of visitors that came to the festival by ELECTRIC OR BIOFUEL CAR or TAXI as their MAIN MEANS OF TRAVEL (NOT first or the last mile transport means). All 'main means of travel' % boxes need to add up together to 100%</t>
  </si>
  <si>
    <t>Average distance VISITORS by ELECTRIC OR BIOFUEL CAR or TAXI (one-way)</t>
  </si>
  <si>
    <t>Percentage VISITORS by (festival) COACH on FOSSIL FUEL</t>
  </si>
  <si>
    <t>Fill in the percentage of visitors that came to the festival by (festival) COACH on FOSSIL FUEL as their MAIN MEANS OF TRAVEL (NOT first or the last mile transport means). All 'main means of travel' % boxes need to add up together to 100%</t>
  </si>
  <si>
    <t>Average distance VISITORS by (festival) COACH on FOSSIL FUEL (one-way)</t>
  </si>
  <si>
    <t>Percentage of VISITORS by (festival) COACH ELECTRIC or BIOFUEL</t>
  </si>
  <si>
    <t>Fill in the percentage of visitors that came to the festival by (festival) COACH ELECTRIC or BIOFUEL as their MAIN MEANS OF TRAVEL (NOT first or the last mile transport means). All 'main means of travel' % boxes need to add up together to 100%</t>
  </si>
  <si>
    <t>Average distance VISITORS by (festival) COACH ELECTRIC or BIOFUEL (one-way)</t>
  </si>
  <si>
    <t>Percentage VISITORS by TRAIN</t>
  </si>
  <si>
    <t>Fill in the percentage of visitors that came to the festival by TRAIN as their MAIN MEANS OF TRAVEL (NOT first or the last mile transport means). All 'main means of travel' % boxes need to add up together to 100%</t>
  </si>
  <si>
    <t>Average distance VISITORS by TRAIN (one-way)</t>
  </si>
  <si>
    <t>Percentage of VISITORS by AIRPLANE</t>
  </si>
  <si>
    <t>Fill in the percentage of visitors that came to the festival by AIRPLANE as their MAIN MEANS OF TRAVEL (NOT first or the last mile transport means). All 'main means of travel' % boxes need to add up together to 100%</t>
  </si>
  <si>
    <t>Average distance VISITORS by AIRPLANE (one-way)</t>
  </si>
  <si>
    <t>Visitors OTHER MEANS OF TRAVEL</t>
  </si>
  <si>
    <t>Number VISITORS by SHIP/FERRY</t>
  </si>
  <si>
    <t>Fill in the amount of people that have used SHIP/FERRY as SECONDARY / OTHER MEANS OF TRAVEL (also revered to as first or last mile).</t>
  </si>
  <si>
    <t>Average distance VISITORS by SHIP/FERRY (one-way)</t>
  </si>
  <si>
    <t>Fill in the average amount of ONE WAY km an individual visitor traveled by SHIP/FERRY as their SECONDARY / OTHER MEANS OF TRAVEL.</t>
  </si>
  <si>
    <t>Percentage VISITORS by SAILING, ELECTRIC or BIOFUEL SHIP/FERRY</t>
  </si>
  <si>
    <t>Fill in the percentage of visitors that traveled by SHIP/FERRY propelled by SAILING, ELECTRIC or BIOFUEL.</t>
  </si>
  <si>
    <t>Number VISITORS by SHUTTLE</t>
  </si>
  <si>
    <t>Fill in the amount of visitors that have used (festival) SHUTTLE as SECONDARY / OTHER MEANS OF TRAVEL (also revered to as first or last mile).</t>
  </si>
  <si>
    <t>Average distance VISITORS by SHUTTLE (one-way)</t>
  </si>
  <si>
    <t>Fill in the average amount of ONE WAY km an individual visitor traveled by (festival) SHUTTLE as their SECONDARY / OTHER MEANS OF TRAVEL.</t>
  </si>
  <si>
    <t>Percentage VISITORS by ELECTRIC or BIOFUEL SHUTTLE</t>
  </si>
  <si>
    <t>Fill in the percentage of visitors that traveled by (festival) SHUTTLE operated ELECTRICAL or on BIOFUEL.</t>
  </si>
  <si>
    <t>ARTISTS</t>
  </si>
  <si>
    <t>Artists MAIN MEANS OF TRAVEL</t>
  </si>
  <si>
    <t xml:space="preserve">Percentage of ARTISTS on FOOT or BICYCLE </t>
  </si>
  <si>
    <t>Fill in the percentage of artists (and entourage) that came to the festival by FOOT or BICYCLE as their MAIN MEANS OF TRAVEL (NOT first or last mile transport means). All 'main means of travel' % boxes need to add up together to 100%.</t>
  </si>
  <si>
    <t>Average distance ARTISTS on FOOT or BICYCLE (one-way)</t>
  </si>
  <si>
    <t>Percentage of ARTISTS by METRO or TRAM</t>
  </si>
  <si>
    <t>Fill in the percentage of artists (and entourage) that came to the festival by METRO or TRAM as their MAIN MEANS OF TRAVEL. (NOT first or the last mile transport means) All 'main means of travel' % boxes need to add up together to 100%</t>
  </si>
  <si>
    <t>Average distance ARTISTS by METRO or TRAM (one-way)</t>
  </si>
  <si>
    <t>Percentage of ARTISTS by LOCAL BUS on FOSSIL FUEL</t>
  </si>
  <si>
    <t>Fill in the percentage of artists (and entourage) that came to the festival by LOCAL BUS on FOSSIL FUEL as their MAIN MEANS OF TRAVEL. (NOT first or the last mile transport means). All 'main means of travel' % boxes need to add up together to 100%</t>
  </si>
  <si>
    <t>Average distance ARTISTS by LOCAL BUS ON FOSSIL FUEL (one-way)</t>
  </si>
  <si>
    <t>Percentage of ARTISTS by LOCAL BUS ELECTRIC or on BIOFUEL</t>
  </si>
  <si>
    <t>Fill in the percentage of artists (and entourage) that came to the festival by LOCAL BUS ELECTRIC or on BIOFUEL as their MAIN MEANS OF TRAVEL. (NOT first or the last mile transport means). All 'main means of travel' % boxes need to add up together to 100%</t>
  </si>
  <si>
    <t>Average distance ARTISTS by LOCAL BUS ELECTRIC or BIOFUEL (one-way)</t>
  </si>
  <si>
    <t>Percentage of ARTISTS by CAR or TAXI on FOSSIL FUEL</t>
  </si>
  <si>
    <t>Fill in the percentage of artists (and entourage) that came to the festival by CAR or TAXI on FOSSIL FUEL as their MAIN MEANS OF TRAVEL (NOT first or the last mile transport means). All 'main means of travel' % boxes need to add up together to 100%</t>
  </si>
  <si>
    <t>Average distance ARTISTS by CAR or TAXI on FOSSIL FUEL (one-way)</t>
  </si>
  <si>
    <t>Average number ARTISTS per vehicle</t>
  </si>
  <si>
    <t xml:space="preserve">Percentage ARTISTS by ELECTRIC OR BIOFUEL CAR or TAXI </t>
  </si>
  <si>
    <t>Fill in the percentage of artists (and entourage) that came to the festival by ELECTRIC OR BIOFUEL CAR or TAXI as their MAIN MEANS OF TRAVEL (NOT first or the last mile transport means). All 'main means of travel' % boxes need to add up together to 100%</t>
  </si>
  <si>
    <t>Average distance ARTISTS by ELECTRIC OR BIOFUEL CAR or TAXI (one-way)</t>
  </si>
  <si>
    <t>Percentage ARTISTS by (festival) COACH on FOSSIL FUEL</t>
  </si>
  <si>
    <t>Fill in the percentage of artists (and entourage) that came to the festival by (festival) COACH on FOSSIL FUEL as their MAIN MEANS OF TRAVEL (NOT first or the last mile transport means). All 'main means of travel' % boxes need to add up together to 100%</t>
  </si>
  <si>
    <t>Average distance ARTISTS by (festival) COACH on FOSSIL FUEL (one-way)</t>
  </si>
  <si>
    <t>Percentage of ARTISTS by (festival) COACH ELECTRIC or BIOFUEL</t>
  </si>
  <si>
    <t>Fill in the percentage of artists (and entourage) that came to the festival by (festival) COACH ELECTRIC or BIOFUEL as their MAIN MEANS OF TRAVEL (NOT first or the last mile transport means). All 'main means of travel' % boxes need to add up together to 100%</t>
  </si>
  <si>
    <t>Average distance ARTISTS by (festival) COACH ELECTRIC or BIOFUEL (one-way)</t>
  </si>
  <si>
    <t>Percentage ARTISTS by TRAIN</t>
  </si>
  <si>
    <t>Fill in the percentage of artists (and entourage) that came to the festival by TRAIN as their MAIN MEANS OF TRAVEL (NOT first or the last mile transport means). All 'main means of travel' % boxes need to add up together to 100%</t>
  </si>
  <si>
    <t>Average distance ARTISTS by TRAIN (one-way)</t>
  </si>
  <si>
    <t>Percentage of ARTISTS by AIRPLANE</t>
  </si>
  <si>
    <t>Fill in the percentage of artists (and entourage) that came to the festival by AIRPLANE as their MAIN MEANS OF TRAVEL (NOT first or the last mile transport means). All 'main means of travel' % boxes need to add up together to 100%</t>
  </si>
  <si>
    <t>Average distance ARTISTS by AIRPLANE (one-way)</t>
  </si>
  <si>
    <t>Artists OTHER MEANS OF TRAVEL</t>
  </si>
  <si>
    <t>Number ARTISTS by SHIP/FERRY</t>
  </si>
  <si>
    <t>Average distance ARTISTS by SHIP/FERRY (one-way)</t>
  </si>
  <si>
    <t>Fill in the average amount of ONE WAY km, visitors traveled by SHIP/FERRY as their SECONDARY / OTHER MEANS OF TRAVEL.</t>
  </si>
  <si>
    <t>Percentage ARTISTS by SAILING, ELECTRIC or BIOFUEL SHIP/FERRY</t>
  </si>
  <si>
    <t>Number ARTISTS by SHUTTLE</t>
  </si>
  <si>
    <t>Average distance ARTISTS by SHUTTLE (one-way)</t>
  </si>
  <si>
    <t>Fill in the average amount of ONE WAY km, visitors traveled by (festival) SHUTTLE as their SECONDARY / OTHER MEANS OF TRAVEL.</t>
  </si>
  <si>
    <t>Percentage ARTISTS by ELECTRIC or BIOFUEL SHUTTLE</t>
  </si>
  <si>
    <t>CREW, VOLUNTEERS and SUPPLIERS</t>
  </si>
  <si>
    <t>Crew, Volunteers and Suppliers MAIN MEANS OF TRAVEL</t>
  </si>
  <si>
    <t xml:space="preserve">Percentage of CREW, VOLUNTEERS and SUPPLIERS on FOOT or BICYCLE </t>
  </si>
  <si>
    <t>Fill in the percentage of crew, volunteers and suppliers that came to the festival by FOOT or BICYCLE as their MAIN MEANS OF TRAVEL (NOT first or the last mile transport means). All 'main means of travel' % boxes need to add up together to 100%</t>
  </si>
  <si>
    <t>Average distance CREW, VOLUNTEERS and SUPPLIERS on FOOT or BICYCLE (one-way)</t>
  </si>
  <si>
    <t>Percentage of CREW, VOLUNTEERS and SUPPLIERS by METRO or TRAM</t>
  </si>
  <si>
    <t>Fill in the percentage of crew, volunteers and suppliers that came to the festival by METRO or TRAM as their MAIN MEANS OF TRAVEL. (NOT first or the last mile transport means) All 'main means of travel' % boxes need to add up together to 100%</t>
  </si>
  <si>
    <t>Average distance CREW, VOLUNTEERS and SUPPLIERS by METRO or TRAM (one-way)</t>
  </si>
  <si>
    <t>Percentage of CREW, VOLUNTEERS and SUPPLIERS by LOCAL BUS on FOSSIL FUEL</t>
  </si>
  <si>
    <t>Fill in the percentage of crew, volunteers and suppliers that came to the festival by LOCAL BUS on FOSSIL FUEL as their MAIN MEANS OF TRAVEL. (NOT first or the last mile transport means). All 'main means of travel' % boxes need to add up together to 100%</t>
  </si>
  <si>
    <t>Average distance CREW, VOLUNTEERS and SUPPLIERS by LOCAL BUS ON FOSSIL FUEL (one-way)</t>
  </si>
  <si>
    <t>Percentage of CREW, VOLUNTEERS and SUPPLIERS by LOCAL BUS ELECTRIC or on BIOFUEL</t>
  </si>
  <si>
    <t>Fill in the percentage of crew, volunteers and suppliers that came to the festival by LOCAL BUS ELECTRIC or on BIOFUEL as their MAIN MEANS OF TRAVEL. (NOT first or the last mile transport means). All 'main means of travel' % boxes need to add up together to 100%</t>
  </si>
  <si>
    <t>Average distance CREW, VOLUNTEERS and SUPPLIERS by LOCAL BUS ELECTRIC or BIOFUEL (one-way)</t>
  </si>
  <si>
    <t>Percentage of CREW, VOLUNTEERS and SUPPLIERS by CAR or TAXI on FOSSIL FUEL</t>
  </si>
  <si>
    <t>Fill in the percentage of crew, volunteers and suppliers that came to the festival by CAR or TAXI on FOSSIL FUEL as their MAIN MEANS OF TRAVEL (NOT first or the last mile transport means). All 'main means of travel' % boxes need to add up together to 100%</t>
  </si>
  <si>
    <t>Average distance CREW, VOLUNTEERS and SUPPLIERS by CAR or TAXI on FOSSIL FUEL (one-way)</t>
  </si>
  <si>
    <t>Average number CREW, VOLUNTEERS and SUPPLIERS per vehicle</t>
  </si>
  <si>
    <t xml:space="preserve">Percentage CREW, VOLUNTEERS and SUPPLIERS by ELECTRIC OR BIOFUEL CAR or TAXI </t>
  </si>
  <si>
    <t>Fill in the percentage of crew, volunteers and suppliers that came to the festival by ELECTRIC OR BIOFUEL CAR or TAXI as their MAIN MEANS OF TRAVEL (NOT first or the last mile transport means). All 'main means of travel' % boxes need to add up together to 100%</t>
  </si>
  <si>
    <t>Average distance CREW, VOLUNTEERS and SUPPLIERS by ELECTRIC OR BIOFUEL CAR or TAXI (one-way)</t>
  </si>
  <si>
    <t>Percentage CREW, VOLUNTEERS and SUPPLIERS by (festival) COACH on FOSSIL FUEL</t>
  </si>
  <si>
    <t>Fill in the percentage of crew, volunteers and suppliers that came to the festival by (festival) COACH on FOSSIL FUEL as their MAIN MEANS OF TRAVEL (NOT first or the last mile transport means). All 'main means of travel' % boxes need to add up together to 100%</t>
  </si>
  <si>
    <t>Average distance CREW, VOLUNTEERS and SUPPLIERS by (festival) COACH on FOSSIL FUEL (one-way)</t>
  </si>
  <si>
    <t>Percentage of CREW, VOLUNTEERS and SUPPLIERS by (festival) COACH ELECTRIC or BIOFUEL</t>
  </si>
  <si>
    <t>Fill in the percentage of crew, volunteers and suppliers that came to the festival by (festival) COACH ELECTRIC or BIOFUEL as their MAIN MEANS OF TRAVEL (NOT first or the last mile transport means). All 'main means of travel' % boxes need to add up together to 100%</t>
  </si>
  <si>
    <t>Average distance CREW, VOLUNTEERS and SUPPLIERS by (festival) COACH ELECTRIC or BIOFUEL (one-way)</t>
  </si>
  <si>
    <t>Percentage CREW, VOLUNTEERS and SUPPLIERS by TRAIN</t>
  </si>
  <si>
    <t>Fill in the percentage of crew, volunteers and suppliers that came to the festival by TRAIN as their MAIN MEANS OF TRAVEL (NOT first or the last mile transport means). All 'main means of travel' % boxes need to add up together to 100%</t>
  </si>
  <si>
    <t>Average distance CREW, VOLUNTEERS and SUPPLIERS by TRAIN (one-way)</t>
  </si>
  <si>
    <t>Percentage of CREW, VOLUNTEERS and SUPPLIERS by AIRPLANE</t>
  </si>
  <si>
    <t>Fill in the percentage of crew, volunteers and suppliers that came to the festival by AIRPLANE as their MAIN MEANS OF TRAVEL (NOT first or the last mile transport means). All 'main means of travel' % boxes need to add up together to 100%</t>
  </si>
  <si>
    <t>Average distance CREW, VOLUNTEERS and SUPPLIERS by AIRPLANE (one-way)</t>
  </si>
  <si>
    <t xml:space="preserve">Crew, Volunteers and Suppliers  OTHER MEANS OF TRAVEL </t>
  </si>
  <si>
    <t>Number CREW, VOLUNTEERS and SUPPLIERS by SHIP/FERRY</t>
  </si>
  <si>
    <t>Fill in the amount of crew, volunteers and suppliers that have used SHIP/FERRY as SECONDARY / OTHER MEANS OF TRAVEL (also referred to as first or last mile).</t>
  </si>
  <si>
    <t>Average distance CREW, VOLUNTEERS and SUPPLIERS by SHIP/FERRY (one-way)</t>
  </si>
  <si>
    <t>Fill in the average amount of ONE WAY km, crew, volunteers and suppliers traveled by SHIP/FERRY as their SECONDARY / OTHER MEANS OF TRAVEL.</t>
  </si>
  <si>
    <t>Percentage CREW, VOLUNTEERS and SUPPLIERS by SAILING, ELECTRIC or BIOFUEL SHIP/FERRY</t>
  </si>
  <si>
    <t>Fill in the percentage of crew, volunteers and suppliers that traveled by SHIP/FERRY propelled by SAILING, ELECTRIC or BIOFUEL.</t>
  </si>
  <si>
    <t>Number CREW, VOLUNTEERS and SUPPLIERS by SHUTTLE</t>
  </si>
  <si>
    <t>Fill in the amount of crew, volunteers and suppliers that have used (festival) SHUTTLE as SECONDARY / OTHER MEANS OF TRAVEL (also referred to as first or last mile).</t>
  </si>
  <si>
    <t>Average distance CREW, VOLUNTEERS and SUPPLIERS by SHUTTLE (one-way)</t>
  </si>
  <si>
    <t>Fill in the average amount of ONE WAY km, crew, volunteers and suppliers traveled by (festival) SHUTTLE as their SECONDARY / OTHER MEANS OF TRAVEL.</t>
  </si>
  <si>
    <t>Percentage CREW, VOLUNTEERS and SUPPLIERS by ELECTRIC or BIOFUEL SHUTTLE</t>
  </si>
  <si>
    <t>Fill in the percentage of crew, volunteers and suppliers that traveled by (festival) SHUTTLE operated ELECTRICAL or on BIOFUEL.</t>
  </si>
  <si>
    <t>INTERNAL TRANSPORT AND BUILDING (onsite transportation and building equipment)</t>
  </si>
  <si>
    <t>Renewable electricity</t>
  </si>
  <si>
    <t xml:space="preserve">All RENEWABLE kWh of ELECTRICITY used for onsite transportation of personnel and goods and the use of building equipment. The most common category of vehicles will be golf carts, forklifts, busses, and cars. </t>
  </si>
  <si>
    <t>Non-renewable electricity</t>
  </si>
  <si>
    <t xml:space="preserve">All FOSSIL AND NUCLEAR kWh of ELECTRICITY used for onsite transportation of personnel and goods and the use of building equipment. The most common category of vehicles will be golf carts, forklifts, busses, and cars. </t>
  </si>
  <si>
    <t>Sustainable biofuel (HVO-UCO/Tall B100)</t>
  </si>
  <si>
    <t xml:space="preserve">All LITERS OF SUTAINABLE BIO FUEL (HVO-UCO/Tall B100) used for onsite transportation of personnel and goods and the use of building equipment. The most common category of vehicles will be golf carts, forklifts, busses, and cars. </t>
  </si>
  <si>
    <t>Fossil diesel</t>
  </si>
  <si>
    <t xml:space="preserve">All LITERS OF FOSSIL FUEL used for onsite transportation of personnel and goods and the use of building equipment. The most common category of vehicles will be golf carts, forklifts, busses, and cars. </t>
  </si>
  <si>
    <t>Fossil gasoline</t>
  </si>
  <si>
    <t xml:space="preserve">All LITERS OF FOSSIL GASOLINE (BENZINE) used for onsite transportation of personnel and goods and the use of building equipment. The most common category of vehicles will be golf carts, forklifts, busses, and cars. </t>
  </si>
  <si>
    <t>Biogas</t>
  </si>
  <si>
    <t xml:space="preserve">All KG'S OF BIO GAS used for onsite transportation of personnel and goods and the use of building equipment. The most common category of vehicles will be golf carts, forklifts, busses, and cars. </t>
  </si>
  <si>
    <t>Fossil natural gas</t>
  </si>
  <si>
    <t xml:space="preserve">All KG'S OF FOSSIL GAS used for onsite transportation of personnel and goods and the use of building equipment. The most common category of vehicles will be golf carts, forklifts, busses, and cars. </t>
  </si>
  <si>
    <t>Green hydrogen</t>
  </si>
  <si>
    <t>All KG'S OF GREEN HYDROGEN (hydrogen generated with RENEWABLE energy) used for onsite transportation of personnel and goods and the use of building equipment. The most common category of vehicles will be golf carts, forklifts, busses, and cars. For conversion of liters to kg please use this tool: https://allesoverwaterstof.nl/calculator/ (also in english)</t>
  </si>
  <si>
    <t>Grey hydrogen</t>
  </si>
  <si>
    <t>All KG'S OF GREY HYDROGEN (hydrogen generated with NON RENEWABLE energy) used for onsite transportation of personnel and goods and the use of building equipment. The most common category of vehicles will be golf carts, forklifts, busses, and cars. For conversion of liters to kg please use this tool: https://allesoverwaterstof.nl/calculator/ (also in english)</t>
  </si>
  <si>
    <t>TRANSPORTATION BY SUPPLIERS (to and from the festival site)</t>
  </si>
  <si>
    <t xml:space="preserve">All RENEWABLE kWh'S OF ELECTRICITY used by SUPPLIERS for transportation of GOODS TO AND FROM THE EVENT SITE. The most common category of vehicles are trailers and (box) trucks. </t>
  </si>
  <si>
    <t xml:space="preserve">All FOSSIL AND NUCLEAR kWh'S OF ELECTRICITY used by SUPPLIERS for transportation of GOODS TO AND FROM THE EVENT SITE. The most common category of vehicles are trailers and (box) trucks. </t>
  </si>
  <si>
    <t xml:space="preserve">All LITERS OF SUTAINABLE BIO FUEL (HVO-UCO/Tall B100) used by SUPPLIERS for transportation of GOODS TO AND FROM THE EVENT SITE. The most common category of vehicles are trailers and (box) trucks. </t>
  </si>
  <si>
    <t xml:space="preserve">All LITERS OF FOSSIL FUEL used by SUPPLIERS for transportation of GOODS TO AND FROM THE EVENT SITE. The most common category of vehicles are trailers and (box) trucks. </t>
  </si>
  <si>
    <t xml:space="preserve">All LITERS OF FOSSIL GASOLINE (BENZINE) used by SUPPLIERS for transportation of GOODS TO AND FROM THE EVENT SITE. The most common category of vehicles are trailers and (box) trucks. </t>
  </si>
  <si>
    <t xml:space="preserve">All KG'S OF BIO GAS used by SUPPLIERS for transportation of GOODS TO AND FROM THE EVENT SITE. The most common category of vehicles are trailers and (box) trucks. </t>
  </si>
  <si>
    <t xml:space="preserve">All KG'S OF FOSSIL GAS used by SUPPLIERS for transportation of GOODS TO AND FROM THE EVENT SITE. The most common category of vehicles are trailers and (box) trucks. </t>
  </si>
  <si>
    <t>All KG'S OF GREEN HYDROGEN (hydrogen generated with RENEWABLE energy) used by SUPPLIERS for transportation of GOODS TO AND FROM THE EVENT SITE. The most common category of vehicles are trailers and (box) trucks. For conversion of liters to kg please use this tool: https://allesoverwaterstof.nl/calculator/ (also in english)</t>
  </si>
  <si>
    <t>All KG'S OF GREY HYDROGEN (hydrogen generated with NON RENEWABLE energy) used by SUPPLIERS for transportation of GOODS TO AND FROM THE EVENT SITE. The most common category of vehicles are trailers and (box) trucks. For conversion of liters to kg please use this tool: https://allesoverwaterstof.nl/calculator/ (also in english)</t>
  </si>
  <si>
    <t>FUEL REPLACEMENT</t>
  </si>
  <si>
    <t>Fuel Replacement air travel &amp; transport</t>
  </si>
  <si>
    <t>tonnes CO2e</t>
  </si>
  <si>
    <t>All avoided emissions (in tonnes CO2e) due to buying Sustainable Aviation Fuels as "fuel replacement' by the festival and/or the suppliers, artists, visitors, crew (NO biofuels that are directly bought or used directly by the festival or other parties)</t>
  </si>
  <si>
    <t>Fuel Replacement marine travel &amp; transport</t>
  </si>
  <si>
    <t>All avoided emissions (in tonnes CO2e) due to buying Sustainable Shipping Fuel by the festival and/or the suppliers, artists, visitors, crew (NO biofuels that are directly bought or used directly by the festival or other parties)</t>
  </si>
  <si>
    <t>Fuel Replacement road travel &amp; transport</t>
  </si>
  <si>
    <t>All avoided emissions (in tonnes CO2e) due to buying Sustainable biofuel for road transport by the festival and/or the suppliers, artists, visitors, crew (NO biofuels that are directly bought or used directly by the festival or other parties)</t>
  </si>
  <si>
    <t>WATER</t>
  </si>
  <si>
    <t>Potable (drinking) water</t>
  </si>
  <si>
    <t>Fill in all LITERS of POTABLE water from the tap, utility water supply network, trucked in, used on the complete festival site (including all areas)</t>
  </si>
  <si>
    <t xml:space="preserve">Non-potable (non-drinking) water </t>
  </si>
  <si>
    <t xml:space="preserve">Fill in all LITERS of NON-POTABLE water consumed at the festival site (including all areas). This includes; ground water, open water, rain water, non filtered, non drinking water, etc. </t>
  </si>
  <si>
    <t>Water reused on-site</t>
  </si>
  <si>
    <t xml:space="preserve">Fill in total amount of liters of water that has been REUSED on site. </t>
  </si>
  <si>
    <t>Water cleaned (on-site) and released to environment</t>
  </si>
  <si>
    <t>Fill in the total amount of liters waste water that has been cleaned on site and that was released back into the environment (open water, surrounding groundwater, etc.)</t>
  </si>
  <si>
    <r>
      <t>Waste water removed from site (</t>
    </r>
    <r>
      <rPr>
        <i/>
        <sz val="11.65"/>
        <color rgb="FF000000"/>
        <rFont val="Calibri"/>
        <family val="2"/>
      </rPr>
      <t>If unknown - leave blank (this will be deduced from total water use)</t>
    </r>
  </si>
  <si>
    <t>Fill in total amount of liters (uncleaned) waste-water removed and cleaned off site, by sewage connection or road transport to an offsite water treatment facility. Leave blank if unknown, estimation will be deduced from total water consumption data.</t>
  </si>
  <si>
    <t>FOOD &amp; DRINKS</t>
  </si>
  <si>
    <r>
      <t xml:space="preserve">The Food theme is divided into 2 categories:
</t>
    </r>
    <r>
      <rPr>
        <b/>
        <i/>
        <sz val="12"/>
        <rFont val="Calibri"/>
        <family val="2"/>
      </rPr>
      <t>1. FOOD is subdivided into 2 options. Both options can be used, but don't fill in food twice. Example; fill in crew catering in 'meals' and visitors catering in 'ingredients'.</t>
    </r>
    <r>
      <rPr>
        <i/>
        <sz val="12"/>
        <rFont val="Calibri"/>
        <family val="2"/>
      </rPr>
      <t xml:space="preserve">
a) Food source section, where the food production method and location should be filled in percentages of the total food weight/meals, which ever food option is chosen.
b) Food option 1, where the consumed INGREDIENTS should be filled in (When using both food notation options beware of double counting) 
c) Food option 2, where the consumed MEALS divided over 5 impact categories should be filled in. (When using both food notation options beware of double counting) 
</t>
    </r>
    <r>
      <rPr>
        <b/>
        <i/>
        <sz val="12"/>
        <rFont val="Calibri"/>
        <family val="2"/>
      </rPr>
      <t>2. DRINKS is subdivided into:</t>
    </r>
    <r>
      <rPr>
        <i/>
        <sz val="12"/>
        <rFont val="Calibri"/>
        <family val="2"/>
      </rPr>
      <t xml:space="preserve">
a) Drinks source, where the drinks production method and location should be filled in percentages of the total amount drinks in liters.
b) Drinks impact, where the amount of liters and the production emissions should be filled in per drink type.</t>
    </r>
  </si>
  <si>
    <t>FOOD</t>
  </si>
  <si>
    <t>Please ensure that the amount of food is only accounted for ONCE (in kilograms of ingredients or in number of meals)</t>
  </si>
  <si>
    <t xml:space="preserve">Food - Source </t>
  </si>
  <si>
    <t>In this section all INGREDIENTS or MEALS need to be filled in for VISITORS, ARTISTS and CREW</t>
  </si>
  <si>
    <t>Percentage organic food</t>
  </si>
  <si>
    <t>Percentage of total amount (in kilograms) consumed which is organically grown (including; visitor, artist and crew catering)</t>
  </si>
  <si>
    <t>Percentage regenerative agriculture food</t>
  </si>
  <si>
    <t>Percentage of total amount (in kilograms) consumed which is regeneratively grown (including; visitor, artist and crew catering)</t>
  </si>
  <si>
    <t>Percentage local food</t>
  </si>
  <si>
    <t>Percentage of total amount (in kilograms) consumed which is locally grown and produced (within 200 km) (including; visitor, artist and crew catering)</t>
  </si>
  <si>
    <t xml:space="preserve">Food Option 1 -  based on Ingredients (if chosen) </t>
  </si>
  <si>
    <t>Vegetables</t>
  </si>
  <si>
    <t>Fill in all VEGETABLES that are being used by the festival in kg (including; visitor, artist and crew catering)</t>
  </si>
  <si>
    <t>Grains</t>
  </si>
  <si>
    <t>Fill in all GRAINS (rice, rye, wheat, etc.) that are being used by the festival in kg (including; visitor, artist and crew catering)</t>
  </si>
  <si>
    <t>Fruits</t>
  </si>
  <si>
    <t>Fill in all FRUITS that are being used by the festival in kg (including; visitor, artist and crew catering)</t>
  </si>
  <si>
    <t>Sauces</t>
  </si>
  <si>
    <t>Fill in all SAUCES that are being used by the festival in kg (including; visitor, artist and crew catering)</t>
  </si>
  <si>
    <t>Dairy</t>
  </si>
  <si>
    <t>Fill in all DAIRY that is being used by the festival in kg (including; visitor, artist and crew catering)</t>
  </si>
  <si>
    <t>Red meat</t>
  </si>
  <si>
    <t>Fill in all RED MEAT (beef, pork, mutton, etc.) that is being used by the festival in kg (including; visitor, artist and crew catering)</t>
  </si>
  <si>
    <t>White meat</t>
  </si>
  <si>
    <t>Fill in all WHITE MEAT (chicken, turkey, duck, etc.) that is being used by the festival in kg (including; visitor, artist and crew catering)</t>
  </si>
  <si>
    <t>Seafood</t>
  </si>
  <si>
    <t>Fill in all SEAFOOD that is being used by the festival in kg (including; visitor, artist and crew catering)</t>
  </si>
  <si>
    <t>Food Option 2 - based on impact of meals (if chosen)</t>
  </si>
  <si>
    <t>Super high impact meals (average: 4 kg CO2 per meal)</t>
  </si>
  <si>
    <t>meals</t>
  </si>
  <si>
    <t xml:space="preserve">Fill in all meals that have a SUPER HIGH impact; average 4 kg CO2e per meal of average 200gr. Example: beef-herd cow, lamb, mutton as main component of the dish.  </t>
  </si>
  <si>
    <t>High impact meals (average: 1.5 kg CO2 per meal)</t>
  </si>
  <si>
    <t>Fill in all meals that have a HIGH impact; average 1.5 kg CO2e per meal of average 200gr. Example; pork, poultry, prawns or cheese as a large component of the dish.</t>
  </si>
  <si>
    <t>Medium impact meals (average: 0.6 kg CO2 per meal)</t>
  </si>
  <si>
    <t>Fill in all meals that have a MEDIUM impact; average 0.6 kg CO2e per meal of average 200gr. Example: fish, egg, as main component of the dish.</t>
  </si>
  <si>
    <t>Low impact meals (average: 0.34 kg CO2 per meal)</t>
  </si>
  <si>
    <t>Fill in all meals that have a LOW impact; average 0.34 kg CO2e per meal of average 200gr. Example: wheat, rye, groundnuts, tomatoes, milk as main component and (almost) no animal products.</t>
  </si>
  <si>
    <t>Ultra low impact meals (average: 0.16 kg CO2 per meal)</t>
  </si>
  <si>
    <t>Fill in all meals that have a ULTRA LOW impact; average 0.16 kg CO2e per meal of average 200gr. Example: root vegetables, fruits, soy, peas, corn, cassava as main component of the dish and no animal products.</t>
  </si>
  <si>
    <t>DRINKS</t>
  </si>
  <si>
    <t>In this section all DRINKS need to be filled in, which were consumed by visitors, artists and crew</t>
  </si>
  <si>
    <t>Drinks - source</t>
  </si>
  <si>
    <t>Percentage organic drinks</t>
  </si>
  <si>
    <t>Percentage of total amount (in liters) of drink which are organically produced (including; visitor, artist and crew catering)</t>
  </si>
  <si>
    <t>Percentage regenerative agriculture drinks</t>
  </si>
  <si>
    <t>Percentage of total amount (in litres) of drinks which are regeneratively produced (including; visitor, artist and crew catering)</t>
  </si>
  <si>
    <t>Percentage local drinks</t>
  </si>
  <si>
    <t>Percentage of total amount (in litres) of drinks used which are locally produced (within 200 km) (including; visitor, artist and crew catering)</t>
  </si>
  <si>
    <t>Drinks - normal / low or climate neutral choices</t>
  </si>
  <si>
    <t>Every DRINK category has three options (except the last three); 1. Regular, 2. Low and 3. Climate neutral. Fill in the same liters only ones, beware of double counting</t>
  </si>
  <si>
    <t>Regular draft beer</t>
  </si>
  <si>
    <t>Fill in all (REGULAR IMPACT) BEER that has been consumed at the festival. REGULAR is the default. (Everything that goes back to the supplier doesn't have to be reported) (including; visitor, artist and crew catering)</t>
  </si>
  <si>
    <t>Low emission draft beer (between 0 and 0.32 kg CO2 per litre)</t>
  </si>
  <si>
    <t>Fill in all LOW IMPACT BEER that has been consumed at the festival (Everything that goes back to the supplier doesn't have to be reported) (including; visitor, artist and crew catering). USE ONLY when the emission factors are known, otherwise revert to REGULAR.</t>
  </si>
  <si>
    <t>Zero emission draft beer (net 0 kg CO2 per liter)</t>
  </si>
  <si>
    <t>Fill in all CLIMATE NEUTRAL BEER that has been consumed at the festival (Everything that goes back to the supplier doesn't have to be reported) (including; visitor, artist and crew catering). USE ONLY when the emission factors are known, otherwise revert to REGULAR.</t>
  </si>
  <si>
    <t>Regular craft beer</t>
  </si>
  <si>
    <t>Fill in all (REGULAR IMPACT) CRAFT BEER that has been consumed at the festival REGULAR is the default. (Everything that goes back to the supplier doesn't have to be reported) (including; visitor, artist and crew catering)</t>
  </si>
  <si>
    <t>Low emission craft beer (between 0 and 0.32 kg CO2 per litre)</t>
  </si>
  <si>
    <t>Fill in all LOW IMPACT CRAFT BEER that has been consumed at the festival (Everything that goes back to the supplier doesn't have to be reported) (including; visitor, artist and crew catering). USE ONLY when the emission factors are known, otherwise revert to REGULAR.</t>
  </si>
  <si>
    <t>Zero emission craft beer (net 0 kg CO2 per litre)</t>
  </si>
  <si>
    <t>Fill in all CLIMATE NEUTRAL CRAFT BEER that has been consumed at the festival (Everything that goes back to the supplier doesn't have to be reported) (including; visitor, artist and crew catering). USE ONLY when the emission factors are known, otherwise revert to REGULAR.</t>
  </si>
  <si>
    <t>Regular coffee</t>
  </si>
  <si>
    <t>Fill in all REGULAR IMPACT COFFEE (use this when most coffee variations are served with cows' milk) that has been consumed at the festival. (including; visitor, artist and crew catering)</t>
  </si>
  <si>
    <t>Low emission coffee (between 0 and 0.47 kg CO2 per litre)</t>
  </si>
  <si>
    <t>Fill in all LOW IMPACT COFFEE (use this when most coffee variations are served with plant-based milk) that has been consumed at the festival (including; visitor, artist and crew catering).</t>
  </si>
  <si>
    <t>Zero emission coffee (net 0 kg CO2 per litre)</t>
  </si>
  <si>
    <t>Fill in all CLIMATE NEUTRAL COFFEE (when both the coffee and milk options used are climate neutral) that has been consumed at the festival (including; visitor, artist and crew catering).</t>
  </si>
  <si>
    <t>Regular bottled water</t>
  </si>
  <si>
    <t>Fill in all (REGULAR IMPACT) BOTTLED WATER that has been consumed at the festival REGULAR is the default. (Everything that goes back to the supplier doesn't have to be reported) (including; visitor, artist and crew catering)</t>
  </si>
  <si>
    <t>Low emission bottled water (between 0 and 0.16 kg CO2 per litre)</t>
  </si>
  <si>
    <t>Fill in all LOW IMPACT BOTTLED WATER that has been consumed at the festival (Everything that goes back to the supplier doesn't have to be reported) (including; visitor, artist and crew catering). USE ONLY when the emission factors are known, otherwise revert to REGULAR.</t>
  </si>
  <si>
    <t>Zero emission bottled water (net 0 kg CO2 per litre)</t>
  </si>
  <si>
    <t>Fill in all CLIMATE NEUTRAL BOTTLED WATER that has been consumed at the festival (Everything that goes back to the supplier doesn't have to be reported) (including; visitor, artist and crew catering). USE ONLY when the emission factors are known, otherwise revert to REGULAR.</t>
  </si>
  <si>
    <t>Regular soda / soft drinks from bottle / can</t>
  </si>
  <si>
    <t>Fill in all (REGULAR IMPACT) SODA FROM CANS OR BOTTLES that has been consumed at the festival REGULAR is the default. (Everything that goes back to the supplier doesn't have to be reported) (including; visitor, artist and crew catering)</t>
  </si>
  <si>
    <t>Low emission soda / soft drinks from bottle / can (between 0 and 0.19 kg CO2 per litre)</t>
  </si>
  <si>
    <t>Fill in all LOW IMPACT SODA FROM CANS OR BOTTLES  that has been consumed at the festival (Everything that goes back to the supplier doesn't have to be reported) (including; visitor, artist and crew catering). USE ONLY when the emission factors are known, otherwise revert to REGULAR.</t>
  </si>
  <si>
    <t>Zero emission soda / soft drinks from bottle / can (net 0 kg CO2 per litre)</t>
  </si>
  <si>
    <t>Fill in all CLIMATE NEUTRAL SODA FROM CANS OR BOTTLES  that has been consumed at the festival (Everything that goes back to the supplier doesn't have to be reported) (including; visitor, artist and crew catering). USE ONLY when the emission factors are known, otherwise revert to REGULAR.</t>
  </si>
  <si>
    <t>Regular fruit juice</t>
  </si>
  <si>
    <t>Fill in all (REGULAR IMPACT) FRUIT JUICE that has been consumed at the festival REGULAR is the default. (Everything that goes back to the supplier doesn't have to be reported) (including; visitor, artist and crew catering)</t>
  </si>
  <si>
    <t>Low emission fruit juice (between 0 and 1.02 kg CO2 per litre)</t>
  </si>
  <si>
    <t>Fill in all LOW IMPACT FRUIT JUICE that has been consumed at the festival (Everything that goes back to the supplier doesn't have to be reported) (including; visitor, artist and crew catering). USE ONLY when the emission factors are known, otherwise revert to REGULAR.</t>
  </si>
  <si>
    <t>Zero emission fruit juice (net 0 kg CO2 per litre)</t>
  </si>
  <si>
    <t>Fill in all CLIMATE NEUTRAL FRUIT JUICE that has been consumed at the festival (Everything that goes back to the supplier doesn't have to be reported) (including; visitor, artist and crew catering). USE ONLY when the emission factors are known, otherwise revert to REGULAR.</t>
  </si>
  <si>
    <t>Regular wine</t>
  </si>
  <si>
    <t>Fill in all (REGULAR IMPACT) WINE that has been consumed at the festival REGULAR is the default. (Everything that goes back to the supplier doesn't have to be reported) (including; visitor, artist and crew catering)</t>
  </si>
  <si>
    <t>Low emission wine (between 0 and 1.41 kg CO2 per litre)</t>
  </si>
  <si>
    <t>Fill in all LOW IMPACT WINE that has been consumed at the festival (Everything that goes back to the supplier doesn't have to be reported) (including; visitor, artist and crew catering). USE ONLY when the emission factors are known, otherwise revert to REGULAR.</t>
  </si>
  <si>
    <t>Zero emission wine (net 0 kg CO2 per litre)</t>
  </si>
  <si>
    <t>Fill in all CLIMATE NEUTRAL WINE that has been consumed at the festival (Everything that goes back to the supplier doesn't have to be reported) (including; visitor, artist and crew catering). USE ONLY when the emission factors are known, otherwise revert to REGULAR.</t>
  </si>
  <si>
    <t>Regular dairy-based drink</t>
  </si>
  <si>
    <t>Fill in all (REGULAR IMPACT) DAIRY-BASED DRINKS (chai latte, milkshakes, hot choclate, milk, etc.) that have been consumed at the festival REGULAR is the default. (Everything that goes back to the supplier doesn't have to be reported) (including; visitor, artist and crew catering)</t>
  </si>
  <si>
    <t>Low emission dairy-based drink (0.413 kg CO2 per litre)</t>
  </si>
  <si>
    <t>Fill in all LOW IMPACT DAIRY-BASED DRINKS (chai latte, milkshakes, hot choclate, milk, etc.) that have been consumed at the festival (Everything that goes back to the supplier doesn't have to be reported) (including; visitor, artist and crew catering). USE ONLY when the emission factors are known, otherwise revert to REGULAR.</t>
  </si>
  <si>
    <t>Zero emission dairy-based drink (net 0 kg CO2 per litre)</t>
  </si>
  <si>
    <t>Fill in all CLIMATE NEUTRAL DAIRY-BASED DRINKS (chai latte, milkshakes, hot choclate, milk, etc.) that have been consumed at the festival (Everything that goes back to the supplier doesn't have to be reported) (including; visitor, artist and crew catering). USE ONLY when the emission factors are known, otherwise revert to REGULAR.</t>
  </si>
  <si>
    <t>Regular mixed drinks</t>
  </si>
  <si>
    <t>Fill in all (REGULAR IMPACT) MIXED DRINKS that has been consumed at the festival REGULAR is the default. (Everything that goes back to the supplier doesn't have to be reported) (including; visitor, artist and crew catering)</t>
  </si>
  <si>
    <t>Low emission mixed drinks (between 0 and 0.52 kg CO2 per litre)</t>
  </si>
  <si>
    <t>Fill in all LOW IMPACT MIXED DRINKS (low alcoholic beverages) that has been consumed at the festival (Everything that goes back to the supplier doesn't have to be reported) (including; visitor, artist and crew catering). USE ONLY when the emission factors are known, otherwise revert to REGULAR.</t>
  </si>
  <si>
    <t>Zero emission mixed drinks (net 0 kg CO2 per litre)</t>
  </si>
  <si>
    <t>Fill in all CLIMATE NEUTRAL MIXED DRINKS (low alcoholic beverages) that has been consumed at the festival (Everything that goes back to the supplier doesn't have to be reported) (including; visitor, artist and crew catering). USE ONLY when the emission factors are known, otherwise revert to REGULAR.</t>
  </si>
  <si>
    <t>Regular spirits</t>
  </si>
  <si>
    <t>Fill in all (REGULAR IMPACT) SPIRITS (beverages with &gt;15% alcohol content) that have been consumed at the festival REGULAR is the default. (Everything that goes back to the supplier doesn't have to be reported) (including; visitor, artist and crew catering)</t>
  </si>
  <si>
    <t>Low emission spirits (between 0 and 1.83 kg CO2 per litre)</t>
  </si>
  <si>
    <t>Fill in all LOW IMPACT SPIRITS (beverages with &gt;15% alcohol content) that have been consumed at the festival (Everything that goes back to the supplier doesn't have to be reported) (including; visitor, artist and crew catering). USE ONLY when the emission factors are known, otherwise revert to REGULAR.</t>
  </si>
  <si>
    <t>Zero emission spirits (net 0 kg CO2 per litre)</t>
  </si>
  <si>
    <t>Fill in all CLIMATE NEUTRAL SPIRITS (beverages with &gt;15% alcohol content) that have been consumed at the festival (Everything that goes back to the supplier doesn't have to be reported) (including; visitor, artist and crew catering). USE ONLY when the emission factors are known, otherwise revert to REGULAR.</t>
  </si>
  <si>
    <t>Tea (Only one option; very low emission factor)</t>
  </si>
  <si>
    <t>All TEA that has been consumed at the festival (so everything that goes back to the supplier doesn't have to be reported) (including; visitor, artist and crew catering)</t>
  </si>
  <si>
    <t>Tap water (as drinking water) (Only one option; very low emission factor)</t>
  </si>
  <si>
    <t>All TAP WATER USED FOR DRINKING WATER that has consumed at the festival (including; visitor, artist and crew catering)</t>
  </si>
  <si>
    <t>Soda / soft drinks from tap water (Only one option; very low emission factor)</t>
  </si>
  <si>
    <t>All SODA and LEMONADES MADE WITH TAP WATER that has been consumed at the festival (including; visitor, artist and crew catering)</t>
  </si>
  <si>
    <t>OVERNIGHT STAY</t>
  </si>
  <si>
    <t>Own festival camping</t>
  </si>
  <si>
    <t>Overnight stays, festivals own campsites</t>
  </si>
  <si>
    <t>Fill in total amount of stayed-nights (not amount of people) of festival VISITORS, ARTISTS, CREW, VOLUNTEERS and SUPPLIERS at the own festival campsites (run by the festival itself)</t>
  </si>
  <si>
    <t>External - Campings, Hotels, Apartments and Holiday Houses</t>
  </si>
  <si>
    <t>Overnight stays, at external REGULAR campsites</t>
  </si>
  <si>
    <t>Fill in total amount of stayed-nights (not amount of people) of festival VISITORS, ARTISTS, CREW, VOLUNTEERS and SUPPLIERS at EXTERNAL (not run by the festival) REGULAR campsites</t>
  </si>
  <si>
    <t>Overnight stays, at external LOW EMISSION campsites (between 0 and 1 kg CO2 per guest per night)</t>
  </si>
  <si>
    <t>Fill in total amount of stayed-nights (not amount of people) of festival VISITORS, ARTISTS, CREW, VOLUNTEERS and SUPPLIERS at EXTERNAL LOW EMISSION campsites (emission between 0 and 1 kg CO2 per guest per night)</t>
  </si>
  <si>
    <t>Overnight stays, at external CLIMATE NEUTRAL campsites (net 0 kg CO2 per guest per night)</t>
  </si>
  <si>
    <t>Fill in total amount of stayed-nights (not amount of people) of festival VISITORS, ARTISTS, CREW, VOLUNTEERS and SUPPLIERS at EXTERNAL CLIMATE NEUTRAL campsites (net 0 kg CO2 per guest per night)</t>
  </si>
  <si>
    <t>Overnight stays, REGULAR hotels, holiday houses or apartments</t>
  </si>
  <si>
    <t>Fill in total amount of stayed-nights (not amount of people) of festival VISITORS, ARTISTS, CREW, VOLUNTEERS and SUPPLIERS at REGULAR hotels, holiday houses or apartments (with average GHG emission)</t>
  </si>
  <si>
    <t>Overnight stays, LOW EMISSION hotels, holiday houses or apartments (between 0 and 5 kg CO2 per guest per night)</t>
  </si>
  <si>
    <t>Fill in total amount of stayed-nights (not amount of people) of festival VISITORS, ARTISTS, CREW, VOLUNTEERS and SUPPLIERS at LOW emission hotels, holiday houses or apartments (between 0 and 5 kg CO2 per guest per night)</t>
  </si>
  <si>
    <t>Overnight stays, CLIMATE NEUTRAL hotels, holiday houses or apartments (net 0 kg CO2 per guest per night)</t>
  </si>
  <si>
    <t>Fill in total amount of stayed-nights (not amount of people) of festival VISITORS, ARTISTS, CREW, VOLUNTEERS and SUPPLIERS at CLIMATE NEUTRAL emission hotel, holiday houses or apartments (net 0 kg CO2 per guest per night)</t>
  </si>
  <si>
    <t>DIGITAL FOOTPRINT (new section fill in when relevant)</t>
  </si>
  <si>
    <t>The digital footprint section is included since the 2024 version of the GDCF monitor. 
It's a part of an event's footprint which is hidden, but clearly related to the event and would not be there without it. That is why it is included from now on. The digital footprint section is requesting data in two ways: 1. in the first row about the Website related CO2e emissions, data is asked in grammes of CO2e per page view. This makes it possible for the reporting party to use a specific emission factor for its specific website views (choice for more sustainable website providers and design). This emission factor can be found throught the following 'website carbon calculation site; https://www.websitecarbon.com. Here you simply fill in your specific website's URL and it will give you an emission amount in gr per website view. The next row inquires about the total number of views of the main festival website during the pre-, during-, and post-event period. Just like the next rows, this data can most likely be obtained through the PR/MarCom/IT department. These two figures will be multiplied with eachother to calculate the carbon footprint of the festival website. 2. The other rows in this section ask for actual 'use numbers' (nr of mails, app sessions, social views, GB) which can be collected at the responsible departments (PR/MarCom/IT) or service parties. For more in depth help on collecting this data please refer to the manual.</t>
  </si>
  <si>
    <t>CO2e emissions PER VIEW of the MAIN FESTIVAL WEBSITE(s)</t>
  </si>
  <si>
    <t>grams of CO2e per view</t>
  </si>
  <si>
    <r>
      <t xml:space="preserve">Fill in the amount of CO2e emissions in grams per view of the main festival website. You can find the amount of CO2e emissions per page view here: </t>
    </r>
    <r>
      <rPr>
        <b/>
        <i/>
        <sz val="12"/>
        <color rgb="FF7F7F7F"/>
        <rFont val="Calibri"/>
        <family val="2"/>
      </rPr>
      <t>https://www.websitecarbon.com</t>
    </r>
  </si>
  <si>
    <t>Number of VIEWS OF MAIN FESTIVAL WEBSITE(s)</t>
  </si>
  <si>
    <t>number of views</t>
  </si>
  <si>
    <t>Fill in the total number of festival website views that were related to this edition of the festival. Include all website views that occurred in the period of 11 months before, during and one month after the festival edition.</t>
  </si>
  <si>
    <t>Number of EMAILS sent</t>
  </si>
  <si>
    <t>nr emails sent</t>
  </si>
  <si>
    <t>Fill in the total number of emails send that were related to this edition of the festival. To estimate; add up all emails sent from main festival server (...@festivalname.com) Include all emails sent in the period of 11 months before, during and one month after the festival edition.</t>
  </si>
  <si>
    <t>Number of APP SESSIONS</t>
  </si>
  <si>
    <t>nr app sessions</t>
  </si>
  <si>
    <t>Fill in total number of app sessions that have occurred at the festival app for this edition of the festival. To estimate: add all registered festival app sessions for all festival apps for the specific edition. Include all app sessions in the period of 11 months before, during and one month after the festival edition.</t>
  </si>
  <si>
    <t>Number of views on SOCIAL MEDIA</t>
  </si>
  <si>
    <t>nr of views</t>
  </si>
  <si>
    <t>Fill in total the number of all social media views for the specific edition of the festival. To estimate: add all views of all social media channels together, for the specific edition of the festival. Mainly: Vimeo, YouTube, X, Facebook, Instagram, TikTok, etc. Include all social media views in the period of 11 months before, during and one month after the festival edition.</t>
  </si>
  <si>
    <t xml:space="preserve">Amount of STORED DATA </t>
  </si>
  <si>
    <t>data GB</t>
  </si>
  <si>
    <t>Fill in total number of GB data stored at servers or in the cloud for the specific edition of the festival. Mainly meant for management tools and software, archive, ticketing etc. EXLUDING; all the above categories. Measurement moment: one week after the festival</t>
  </si>
  <si>
    <t>CARBON REMOVAL</t>
  </si>
  <si>
    <t>Carbon removal</t>
  </si>
  <si>
    <t>All tonnes of GHG emissions that have been successfully removed using short term, durable and verified carbon removal programs</t>
  </si>
  <si>
    <t xml:space="preserve">For further support use the 'User Guide: Input sheet and Data collection' </t>
  </si>
  <si>
    <t>Ind</t>
  </si>
  <si>
    <t>Voorkomen</t>
  </si>
  <si>
    <t>New name</t>
  </si>
  <si>
    <t>Data type</t>
  </si>
  <si>
    <t>Row number to import</t>
  </si>
  <si>
    <t>ID</t>
  </si>
  <si>
    <t>Facilitary</t>
  </si>
  <si>
    <t>General</t>
  </si>
  <si>
    <t>Activity</t>
  </si>
  <si>
    <t xml:space="preserve">The 'MATERIALS' theme is divided into 2 categories:
1. Procurement, this category administrates the production emissions, weight and material origin of bought materials. The measured factors for the procured materials are assigned to the year they were procured in, also for materials that are used over multiple years.
2. The end of life materials - also sometimes known as, consumption materials - is a category that administers the emissions, weight and recycling/disposal methods for the used materials. Here all materials should be counted that, at the end of the festival have ended up in recycling, incineration, or landfill (with the addition of reused tableware).
Examples: Procured materials; all BOUGHT textile crew-shirts, textile merchandise, wooden planks for decoration, plastic reusable tableware, are counted as tons of procured materials. DO NOT count rented/leased or reused materials of previous years.
End of life materials; all THROWN AWAY  or DISPOSED OF (at the festival site) textile crew shirts, plastic merchandise wrappers, wooden decor planks, organic waste, paper program booklets, residual waste. DO NOT count materials that are rented/leased, materials that will be reused,   </t>
  </si>
  <si>
    <t>Disc</t>
  </si>
  <si>
    <t>Incineration after post separation</t>
  </si>
  <si>
    <t>tonnes</t>
  </si>
  <si>
    <t xml:space="preserve">In the travel section - for visitors, Artists, Crew and Volunteers - it is primarily about the MAIN MEANS OF TRAVEL. Always fill in the average km and percentages for the MAIN MEANS OF TRAVEL = the modality that people used the longest on their way to the event (so not the first or last mile). For standard forms of first/last mile transport an extra optional section has been added at the end of each section; shuttle or ship/ferry. 
The km boxes; When the data is known it can be filled in as an average single journey in km per modality per traveler. When the data left open (select 'no data' in column F) the tool will use an average; short 7,5km, medium vistors&amp;crew 80 km/artists 200 km, long vistors&amp;crew 750 km/artists 2500 km.
The percentage boxes: Always fill in percentages per main means of travel (modality), which are easiest obtained through a visitor survey afterwards. The percentage boxes together must add up to 100% (cells are RED when not 100% and turn GREEN when 100%).
Example: Visitor came by bus to the international airport and took the plane to the airport nearest to the event and then took the festival shuttle to the event, calculate: x km by airplane (main means of travel) and x km by shuttle (other means of transport). If a visitor traveled by bicycle and then by train and walked the last bit, it should be counted as: x km by train (main means of travel). If a visitor walks from their house to the event: x km by foot (main means of travel).
</t>
  </si>
  <si>
    <t>Average number of visitors per car or taxi fossil fuel</t>
  </si>
  <si>
    <t>Average number of visitors per car or taxi ZE</t>
  </si>
  <si>
    <t>Km</t>
  </si>
  <si>
    <t>Average number of artists per car or taxi fossil fuel</t>
  </si>
  <si>
    <t>Average number of artists per car or taxi ZE</t>
  </si>
  <si>
    <t>Average numer of crew volunteers suppliers per car taxi fossil fuel</t>
  </si>
  <si>
    <t>Average numer of crew volunteers suppliers per car taxi ZE</t>
  </si>
  <si>
    <t>kwh</t>
  </si>
  <si>
    <t>Carbon credits</t>
  </si>
  <si>
    <t>Waste water removed from site (If unknown - leave blank (this will be deduced from total water use)</t>
  </si>
  <si>
    <t>The Food theme is divided into 2 categories:
1. FOOD is subdivided into 2 options. Both options can be used, but don't fill in food twice. Example; fill in crew catering in 'meals' and visitors catering in 'ingredients'.
a) Food source section, where the food production method and location should be filled in percentages of the total food weight/meals, which ever food option is chosen.
b) Food option 1, where the consumed INGREDIENTS should be filled in (When using both food notation options beware of double counting) 
c) Food option 2, where the consumed MEALS divided over 5 impact categories should be filled in. (When using both food notation options beware of double counting) 
2. DRINKS is subdivided into:
a) Drinks source, where the drinks production method and location should be filled in percentages of the total amount drinks in liters.
b) Drinks impact, where the amount of liters and the production emissions should be filled in per drink type.</t>
  </si>
  <si>
    <t>Sourcing</t>
  </si>
  <si>
    <t>Meat</t>
  </si>
  <si>
    <t>Low emission coffee (between 0 and 0.16 kg CO2 per litre)</t>
  </si>
  <si>
    <t>The digital footprint section is new in the 2024 version of the GDCF monitor. 
It's a part of an event's footprint which is hidden, but clearly related to the event and would not be there without it. That is why it is included from now on. The digital footprint section is requesting data in two ways: 1. in the first row about the Website related CO2e emissions, data is asked in tonnes of CO2e. This makes it possible for the reporting party to use a specific emission factor for its specific website views (choice for more sustainable website providers and design). To calculate this emission factor yourself we recommend using the 'website carbon calculation site; https://www.websitecarbon.com. Here you simply fill in your specific website's URL and it will give you an emission amount in gr per website view. This is the emission factor for your specific website views. Multiply this 'emission factor' with total amount of website views for your event for the specific edition and you will have calculated the amount of CO2e emitted, in relation to the website views of your event. Fill this in at the relevant data cell (and bob's your uncle ;-). 2. The other rows in this section ask for actual 'use numbers' (nr of mails, app sessions, social views, GB) which can be collected at the responsible departments (PR/MarCom/IT) or service parties. For more in depth help on collecting this data please refer to the manual (use link)</t>
  </si>
  <si>
    <t>Line in input sheet</t>
  </si>
  <si>
    <t>Indicator in input sheet</t>
  </si>
  <si>
    <t>Formula - for data input box</t>
  </si>
  <si>
    <t>Data collection - this information can be gathered as follows …</t>
  </si>
  <si>
    <t>Data collection - preparations</t>
  </si>
  <si>
    <t>Data collection - tool/survey suggestions</t>
  </si>
  <si>
    <r>
      <t xml:space="preserve">Weather types are found in online weather data (like weatheronline.co.uk). Gather </t>
    </r>
    <r>
      <rPr>
        <b/>
        <sz val="12"/>
        <color theme="1"/>
        <rFont val="Calibri"/>
        <family val="2"/>
        <scheme val="minor"/>
      </rPr>
      <t>(1) cloud-cover per day, (2) precipitation and (3) sunshine hours.</t>
    </r>
  </si>
  <si>
    <t>Calculate average temperature over full festival periode by using local weather data. Add all the average day temperatures and divide them through the amount of festival days.</t>
  </si>
  <si>
    <t>(average day 1 temp + average day 2 temp …) / total amount of days</t>
  </si>
  <si>
    <r>
      <t xml:space="preserve">Average temperatures can be found per location in online weather data (like weatheronline.co.uk). Look up </t>
    </r>
    <r>
      <rPr>
        <b/>
        <sz val="12"/>
        <color theme="1"/>
        <rFont val="Calibri"/>
        <family val="2"/>
        <scheme val="minor"/>
      </rPr>
      <t>(1) average temperature for every specific day</t>
    </r>
    <r>
      <rPr>
        <sz val="12"/>
        <color theme="1"/>
        <rFont val="Calibri"/>
        <family val="2"/>
        <scheme val="minor"/>
      </rPr>
      <t xml:space="preserve"> the festival took place.</t>
    </r>
  </si>
  <si>
    <t>X day tickets sold + X day guests + X day other visitors = All X day visitors</t>
  </si>
  <si>
    <t>see line 30: number of visitors</t>
  </si>
  <si>
    <t>Fill in all visitors that were there for more then 10 days: totall number of 10+-day tickets sold for the event + all 10+ day guests, etc…</t>
  </si>
  <si>
    <t>artists + management + related crew</t>
  </si>
  <si>
    <r>
      <t xml:space="preserve">Artists are mostly booked by the programming team. Ask for </t>
    </r>
    <r>
      <rPr>
        <b/>
        <sz val="12"/>
        <color theme="1"/>
        <rFont val="Calibri"/>
        <family val="2"/>
        <scheme val="minor"/>
      </rPr>
      <t>total number of (1) artists,</t>
    </r>
    <r>
      <rPr>
        <sz val="12"/>
        <color theme="1"/>
        <rFont val="Calibri"/>
        <family val="2"/>
        <scheme val="minor"/>
      </rPr>
      <t xml:space="preserve"> </t>
    </r>
    <r>
      <rPr>
        <b/>
        <sz val="12"/>
        <color theme="1"/>
        <rFont val="Calibri"/>
        <family val="2"/>
        <scheme val="minor"/>
      </rPr>
      <t>(2) accompanying management, (3) accompanying crew</t>
    </r>
  </si>
  <si>
    <t>If not already in use, develop and implement an artist registration tool and include 'number of artists' questions.</t>
  </si>
  <si>
    <t>festival crew + volunteers</t>
  </si>
  <si>
    <r>
      <t>Festival crew and volunteers are mostly managed by production/hr/service party. Ask for total number of (</t>
    </r>
    <r>
      <rPr>
        <b/>
        <sz val="12"/>
        <color theme="1"/>
        <rFont val="Calibri"/>
        <family val="2"/>
        <scheme val="minor"/>
      </rPr>
      <t xml:space="preserve">1) festival crew </t>
    </r>
    <r>
      <rPr>
        <sz val="12"/>
        <color theme="1"/>
        <rFont val="Calibri"/>
        <family val="2"/>
        <scheme val="minor"/>
      </rPr>
      <t xml:space="preserve">and </t>
    </r>
    <r>
      <rPr>
        <b/>
        <sz val="12"/>
        <color theme="1"/>
        <rFont val="Calibri"/>
        <family val="2"/>
        <scheme val="minor"/>
      </rPr>
      <t>(2) festival volunteers</t>
    </r>
  </si>
  <si>
    <t>If not already in use, develop and implement a crew and volunteers registration tool and include 'number of crew and volunteers' questions.</t>
  </si>
  <si>
    <t>all supplier + contractor personnel</t>
  </si>
  <si>
    <r>
      <t xml:space="preserve">Suppliers/contractors are managed by different departments within the festival organisation, mostly; (technical) production, catering, pr/communication.  Ask for total number of </t>
    </r>
    <r>
      <rPr>
        <b/>
        <sz val="12"/>
        <color theme="1"/>
        <rFont val="Calibri"/>
        <family val="2"/>
        <scheme val="minor"/>
      </rPr>
      <t>(1) supplier/contractor personnel coming to the festival.</t>
    </r>
  </si>
  <si>
    <t>If not already in use, develop and implement a suppliers registration tool and include 'number of suppliers' questions.</t>
  </si>
  <si>
    <t>All used electricity from grid that was produced by wind, sun, or other zero emission fully renewable production. EXCLUDING: onsite transportation and building equipment, please fill these in at the INTERNAL TRANSPORT section, below.</t>
  </si>
  <si>
    <t>amount renewable kWh grid connection 1 + amount renewable KWh grid connection 2 + ….. (Exluding the kWh used for internal transport and building equipment)</t>
  </si>
  <si>
    <r>
      <t xml:space="preserve">Electrical grid connections always measure kWh. Most common is a meter where kWh are documented for billing. This data is available from the owner of the connection. Ask for </t>
    </r>
    <r>
      <rPr>
        <b/>
        <sz val="12"/>
        <color rgb="FF000000"/>
        <rFont val="Calibri"/>
        <family val="2"/>
        <scheme val="minor"/>
      </rPr>
      <t xml:space="preserve">(1) total amount of renewable kWh used (if applicable; for more connections) </t>
    </r>
    <r>
      <rPr>
        <sz val="12"/>
        <color rgb="FF000000"/>
        <rFont val="Calibri"/>
        <family val="2"/>
        <scheme val="minor"/>
      </rPr>
      <t>(Exluding the kWh used for internal transport and building equipment).</t>
    </r>
  </si>
  <si>
    <t xml:space="preserve">Ask the technical production team for the needed data, far in advance. So they can take it into their planning, communicate with sub contractors and install meters if need be </t>
  </si>
  <si>
    <t xml:space="preserve">Suggestion for question for technical production / service party on energy use: 
(a.) How many kWh of electricity from grid from renewable energy sources were used?   …..  
b.) How many kWh of electricity from grid from NON-renewable energy sources were used?   ….. 
(c.) How many kWh of electricity from wind, sun or other renewable sources on site were used?   ….. 
(d.) How many kWh of electricity from batteries from renewable sources were used?   ….. 
(e.) How many kWh of electricity from batteries from NON-renewable sources were used?   ….. </t>
  </si>
  <si>
    <t>All used electricity from the grid that was produced from non-renewable energy sources like diesel, coal, natural gas and nuclear. EXCLUDING: onsite transportation and building equipment, please fill these in at the INTERNAL TRANSPORT section, below.</t>
  </si>
  <si>
    <t>amount NON renewable kWh grid connection 1 + amount NON renewable KWh grid connection 2 + ….. (Exluding the kWh used for internal transport and building equipment)</t>
  </si>
  <si>
    <r>
      <t xml:space="preserve">Electrical grid connections always measure kWh. Most common is a meter where kWh are documented for billing. This data is available from the owner of the connection. Ask for </t>
    </r>
    <r>
      <rPr>
        <b/>
        <sz val="12"/>
        <color rgb="FF000000"/>
        <rFont val="Calibri"/>
        <family val="2"/>
        <scheme val="minor"/>
      </rPr>
      <t>(1) total amount of NON renewable kWh used (if applicable; for more connections).</t>
    </r>
    <r>
      <rPr>
        <sz val="12"/>
        <color rgb="FF000000"/>
        <rFont val="Calibri"/>
        <family val="2"/>
        <scheme val="minor"/>
      </rPr>
      <t>(Exluding the kWh used for internal transport and building equipment).</t>
    </r>
  </si>
  <si>
    <t>amount of renewable kWh produced on site ((Exluding the kWh used for internal transport and building equipment)</t>
  </si>
  <si>
    <r>
      <t xml:space="preserve">Festival based (on site) renewable power generation needs to be actively measured by the festival technical production or service party. Ask for </t>
    </r>
    <r>
      <rPr>
        <b/>
        <sz val="12"/>
        <color rgb="FF000000"/>
        <rFont val="Calibri"/>
        <family val="2"/>
        <scheme val="minor"/>
      </rPr>
      <t xml:space="preserve">(1) total amount of renewable kWh generated on site (if applicable; for more sources). </t>
    </r>
    <r>
      <rPr>
        <sz val="12"/>
        <color rgb="FF000000"/>
        <rFont val="Calibri"/>
        <family val="2"/>
        <scheme val="minor"/>
      </rPr>
      <t>(Exluding the kWh used for internal transport and building equipment)</t>
    </r>
  </si>
  <si>
    <t>amount renewable kWh from battery 1 + amount renewable KWh from battery 2 + ….. (Exluding the kWh used for internal transport and building equipment)</t>
  </si>
  <si>
    <r>
      <t xml:space="preserve">The use of large mobile batteries is digitally measured by the festival technical prod of the service party. Ask for (1) </t>
    </r>
    <r>
      <rPr>
        <b/>
        <sz val="12"/>
        <color rgb="FF000000"/>
        <rFont val="Calibri"/>
        <family val="2"/>
        <scheme val="minor"/>
      </rPr>
      <t xml:space="preserve">total amount of renewable kWh used from batteries on site (if applicable; for more batteries). </t>
    </r>
    <r>
      <rPr>
        <sz val="12"/>
        <color rgb="FF000000"/>
        <rFont val="Calibri"/>
        <family val="2"/>
        <scheme val="minor"/>
      </rPr>
      <t>(Exluding the kWh used for internal transport and building equipment)</t>
    </r>
  </si>
  <si>
    <t>Non-renewable electrity from batteries</t>
  </si>
  <si>
    <t>amount NON renewable kWh from battery 1 + amount NON renewable KWh battery 2 + …..</t>
  </si>
  <si>
    <r>
      <t xml:space="preserve">The use of large mobile batteries is digitally measured by the festival technical prod of the service party. Ask for (1) </t>
    </r>
    <r>
      <rPr>
        <b/>
        <sz val="12"/>
        <color rgb="FF000000"/>
        <rFont val="Calibri"/>
        <family val="2"/>
        <scheme val="minor"/>
      </rPr>
      <t xml:space="preserve">total amount of NON renewable kWh used from batteries on site (if applicable; for more batteries) </t>
    </r>
    <r>
      <rPr>
        <sz val="12"/>
        <color rgb="FF000000"/>
        <rFont val="Calibri"/>
        <family val="2"/>
        <scheme val="minor"/>
      </rPr>
      <t>(Exluding the kWh used for internal transport and building equipment)</t>
    </r>
  </si>
  <si>
    <t>Use of fossil diesel on the festival site for stationary purposes (generators, heaters, etc.) SO EXCLUDING: onsite transportation and building equipment, please fill these in at the INTERNAL TRANSPORT section, below.</t>
  </si>
  <si>
    <t>liters fossil diesel generators + liters fossil diesel heaters/coolers</t>
  </si>
  <si>
    <r>
      <t xml:space="preserve">Fossil diesel on site is mostly used for building machines, power generators, heating. This diesel is mostly combined in on site tanks and facilitated by technical production or (power) service party. Ask for </t>
    </r>
    <r>
      <rPr>
        <b/>
        <sz val="12"/>
        <color rgb="FF000000"/>
        <rFont val="Calibri"/>
        <family val="2"/>
        <scheme val="minor"/>
      </rPr>
      <t>(1) total amount of liters fossil diesel consumption on site (Exluding building equipment and oniste transport)</t>
    </r>
  </si>
  <si>
    <t xml:space="preserve">Suggestion for question for technical production / service party on stationary fuel use: 
(a.) How liters of fossil diesel for generators, heating and cooling where used?   …..  
b.) How liters of HVO sustainable biofuel where used for generators, heating and coolin?   …..     ….. 
(c.) How many kg of green hydrogen were used on site?   ….. 
(d.) How many Nm3 of natural gas from grid were use on site?   …..  
(e.) How many kg of natural gas from bottles was use on site?  ….
(f.) How many kg of bio gas from bottles &amp; grid was use on site?   …..  </t>
  </si>
  <si>
    <t>Sustainable biofuel (HVO-UCO/Tall B1) for generators</t>
  </si>
  <si>
    <t>Total use of sustainable biofuel (2nd generation biofuel HVO-UCO/Tall B100) on site for stationary purposes (generators, heaters, etc.) SO EXCLUDING: onsite transportation and building equipment, please fill these in at the INTERNAL TRANSPORT section, below.</t>
  </si>
  <si>
    <t>liters HVO generators + liters HVO heaters/coolers</t>
  </si>
  <si>
    <r>
      <t xml:space="preserve">Renewable (HVO) diesel on site is mostly used for building machines, local transport, power generators, heating. This diesel is mostly combined in on site tanks and facilitated by technical production or (power) service party. Ask for </t>
    </r>
    <r>
      <rPr>
        <b/>
        <sz val="12"/>
        <color rgb="FF000000"/>
        <rFont val="Calibri"/>
        <family val="2"/>
        <scheme val="minor"/>
      </rPr>
      <t xml:space="preserve">(1) total amount of liters renewable (HVO-UCO/Tall B100) diesel consumption on site, </t>
    </r>
    <r>
      <rPr>
        <sz val="12"/>
        <color rgb="FF000000"/>
        <rFont val="Calibri"/>
        <family val="2"/>
        <scheme val="minor"/>
      </rPr>
      <t>(Exluding building equipment and oniste transport).</t>
    </r>
  </si>
  <si>
    <t xml:space="preserve">Amount of kg of green Hydrogen </t>
  </si>
  <si>
    <r>
      <rPr>
        <sz val="12"/>
        <color rgb="FF000000"/>
        <rFont val="Calibri"/>
        <family val="2"/>
        <scheme val="minor"/>
      </rPr>
      <t xml:space="preserve">Green Hydrogen on site is mostly used for power generators / Fuel cells. This Hydrogen is mostly transported and stored in on site tanks and facilitated by technical production or (power) service party. Ask for </t>
    </r>
    <r>
      <rPr>
        <b/>
        <sz val="12"/>
        <color rgb="FF000000"/>
        <rFont val="Calibri"/>
        <family val="2"/>
        <scheme val="minor"/>
      </rPr>
      <t>(1) total amount of kg green hyrdogen consumption on site (Exluding building equipment and oniste transport)</t>
    </r>
  </si>
  <si>
    <t xml:space="preserve">Amount of kg of grey Hydrogen </t>
  </si>
  <si>
    <r>
      <rPr>
        <sz val="12"/>
        <color rgb="FF000000"/>
        <rFont val="Calibri"/>
        <family val="2"/>
        <scheme val="minor"/>
      </rPr>
      <t xml:space="preserve">Grey Hydrogen on site is mostly used for power generators / Fuel cells. This Hydrogen is mostly transported and stored in on site tanks and facilitated by technical production or (power) service party. Ask for </t>
    </r>
    <r>
      <rPr>
        <b/>
        <sz val="12"/>
        <color rgb="FF000000"/>
        <rFont val="Calibri"/>
        <family val="2"/>
        <scheme val="minor"/>
      </rPr>
      <t>(1) total amount of kg grey hyrdogen consumption on site (Exluding building equipment and oniste transport)</t>
    </r>
  </si>
  <si>
    <t>All onsite fossil natural gas usage that was procured through the national gas grid / pipes. Including fossil gas for heating of water and air. SO EXCLUDING: onsite transportation and building equipment, please fill these in at the INTERNAL TRANSPORT section, below.</t>
  </si>
  <si>
    <t>amount of Nm3 fossil natural gas (only) from grid</t>
  </si>
  <si>
    <r>
      <t xml:space="preserve">Natural (fossil) gas grid connections are measured in Nm3. Most common is a meter where Nm3 is documented for billing. This data is available from the owner of the connection. Ask for </t>
    </r>
    <r>
      <rPr>
        <b/>
        <sz val="12"/>
        <color rgb="FF000000"/>
        <rFont val="Calibri"/>
        <family val="2"/>
        <scheme val="minor"/>
      </rPr>
      <t>(1) total amount of NON renewable gas Nm3 from grid used (if applicable; for more connections).</t>
    </r>
    <r>
      <rPr>
        <sz val="12"/>
        <color rgb="FF000000"/>
        <rFont val="Calibri"/>
        <family val="2"/>
        <scheme val="minor"/>
      </rPr>
      <t>(Exluding Nm3  used for internal transport and building equipment)</t>
    </r>
  </si>
  <si>
    <t>All onsite fossil natural gas usage that was transported in bottles. Including gas for cooking by vendors and catering. SO EXCLUDING: onsite transportation and building equipment, please fill these in at the INTERNAL TRANSPORT section, below.</t>
  </si>
  <si>
    <t>amount of kg NON renewable (fossil) natural gas from bottles</t>
  </si>
  <si>
    <r>
      <t xml:space="preserve">Natural (fossil) gas in bottles are measured in kg. Bottled gas is mostly used for cooking, heating and brought in by service parties like vendors. Ask for </t>
    </r>
    <r>
      <rPr>
        <b/>
        <sz val="12"/>
        <color rgb="FF000000"/>
        <rFont val="Calibri"/>
        <family val="2"/>
        <scheme val="minor"/>
      </rPr>
      <t>(1) total amount of NON renewable (fossil) gas kg used from bottles (if applicable; from different users).</t>
    </r>
    <r>
      <rPr>
        <sz val="12"/>
        <color rgb="FF000000"/>
        <rFont val="Calibri"/>
        <family val="2"/>
        <scheme val="minor"/>
      </rPr>
      <t>(Exluding the Kg used for internal transport and building equipment)</t>
    </r>
  </si>
  <si>
    <t>If not already in use, develop and implement service party registration. Include question about NON renewable bottled gas usage. See survey suggestion</t>
  </si>
  <si>
    <t>How many kg of bottled gas did you use?
None
Renewable (bio) gas: xxx kg
NON Renewable (fossil) gas: xxx kg</t>
  </si>
  <si>
    <t>All onsite biogas usage that was transported in bottles. Including biogas for cooking by vendors and caterers. SO EXCLUDING: onsite transportation and building equipment, please fill these in at the INTERNAL TRANSPORT section, below.</t>
  </si>
  <si>
    <t>amount of kg renewable gas from bottles + grid</t>
  </si>
  <si>
    <r>
      <t xml:space="preserve">Renewable gas in bottles are normally measured in kg. Bottled gas is mostly used for cooking, heating and brought in by service parties like vendors. Ask for </t>
    </r>
    <r>
      <rPr>
        <b/>
        <sz val="12"/>
        <color rgb="FF000000"/>
        <rFont val="Calibri"/>
        <family val="2"/>
        <scheme val="minor"/>
      </rPr>
      <t xml:space="preserve">(1) total amount of kg renewable gas used from bottles (if applicable; from different users). </t>
    </r>
    <r>
      <rPr>
        <sz val="12"/>
        <color rgb="FF000000"/>
        <rFont val="Calibri"/>
        <family val="2"/>
        <scheme val="minor"/>
      </rPr>
      <t>(Exluding the kg used for internal transport and building equipment)</t>
    </r>
  </si>
  <si>
    <r>
      <rPr>
        <i/>
        <sz val="12"/>
        <color rgb="FF000000"/>
        <rFont val="Calibri"/>
        <family val="2"/>
      </rPr>
      <t xml:space="preserve">The 'MATERIALS' theme is divided into 2 categories:
</t>
    </r>
    <r>
      <rPr>
        <b/>
        <i/>
        <sz val="12"/>
        <color rgb="FF000000"/>
        <rFont val="Calibri"/>
        <family val="2"/>
      </rPr>
      <t>1. Procurement,</t>
    </r>
    <r>
      <rPr>
        <i/>
        <sz val="12"/>
        <color rgb="FF000000"/>
        <rFont val="Calibri"/>
        <family val="2"/>
      </rPr>
      <t xml:space="preserve"> this category administrates the production emissions, weight and material origin of bought materials. The measured factors for the procured materials are assigned to the year they were procured in, also for materials that are used over multiple years.
NOTE: The GDCF Model (and the dashboard) distinguishes between circular and non-circular procurement. The Model recognises all second hand, recycled, or bio-based products and materials as circular procurement. All virgin products and materials that are not bio-based are considered non-circular procurement.
</t>
    </r>
    <r>
      <rPr>
        <b/>
        <i/>
        <sz val="12"/>
        <color rgb="FF000000"/>
        <rFont val="Calibri"/>
        <family val="2"/>
      </rPr>
      <t>2. The end of life materials</t>
    </r>
    <r>
      <rPr>
        <i/>
        <sz val="12"/>
        <color rgb="FF000000"/>
        <rFont val="Calibri"/>
        <family val="2"/>
      </rPr>
      <t xml:space="preserve"> - also sometimes known as, consumption materials - is a category that administers the emissions, weight and recycling/disposal methods for the used materials. Here all materials should be counted that, at the end of the festival have ended up in recycling, incineration, or landfill (with the addition of reused tableware).
Examples: Procured materials; all BOUGHT textile crew-shirts, textile merchandise, wooden planks for decoration, plastic reusable tableware, are counted as kilograms of procured materials. DO NOT count rented/leased or reused materials of previous years.
End of life materials; all THROWN AWAY or DISPOSED OF (at the festival site) textile crew shirts, plastic merchandise wrappers, wooden decor planks, organic waste, paper program booklets, residual waste. DO NOT count materials that are rented/leased, or materials that will be reused in upcoming editions.</t>
    </r>
  </si>
  <si>
    <t>Add all procured VIRGIN aluminum in kilograms</t>
  </si>
  <si>
    <r>
      <t xml:space="preserve">Procurement of materials is done by almost any department of the event. This means that this data has to be collected at all the departments. Ask all departments for </t>
    </r>
    <r>
      <rPr>
        <b/>
        <sz val="12"/>
        <color rgb="FF000000"/>
        <rFont val="Calibri"/>
        <family val="2"/>
        <scheme val="minor"/>
      </rPr>
      <t>(1) total amount of procured (NOT rented/leased) materials in kilograms (or tonnes and translate to kilograms).</t>
    </r>
  </si>
  <si>
    <t>If not already in use, develop and implement a registration system for procured materials for all departments within the organisation.</t>
  </si>
  <si>
    <t>Suggestion for questions for all departments:
What were the respective weights in kg of the materials that your department procured this year:
New Aluminum .... kg
Recycled or second hand Aluminum ... kg
New Steel .... kg
Recycled or second hand Steel ... kg
New Other Metals ... kg
Recycled or second hand Other Metals ... kg
New Wood .... kg
Recycled or second hand Wood ... kg
New Synthetic Textiles ... kg
Recycled or second hand Synthetic Textiles ... kg
New Bio-based Textiles ... kg
Recycled or second hand Bio-based Textiles ... kg
New Synthetic Plastics ... kg
Recycled or second hand Synthetic Plastics ... kg
New Bio-based Plastics ... kg
Recycled or second hand Bio-based Plastics ... kg
New Paper ... kg
Recycled or second hand Paper ... kg</t>
  </si>
  <si>
    <t>Add all procured RECYCLED and SECOND HAND aluminum in kilograms</t>
  </si>
  <si>
    <t>See line 66: Procured new materials</t>
  </si>
  <si>
    <t>Add all procured VIRGIN steel in kilograms</t>
  </si>
  <si>
    <t>Add all procured RECYCLED and SECOND HAND steel in kilograms</t>
  </si>
  <si>
    <t>Add all procured VIRGIN other metals in kilograms</t>
  </si>
  <si>
    <t>Add all procured RECYCLED and SECOND HAND other metals in kilograms</t>
  </si>
  <si>
    <t>Add all procured VIRGIN wood in kilograms</t>
  </si>
  <si>
    <t>Add all procured RECYCLED and SECOND HAND wood in kilograms</t>
  </si>
  <si>
    <t>Add all procured VIRGIN synthetic textiles in kilograms</t>
  </si>
  <si>
    <t>Add all procured RECYCLED and SECOND HAND synthetic textiles in kilograms</t>
  </si>
  <si>
    <t>Add all procured VIRGIN bio-based textiles in kilograms</t>
  </si>
  <si>
    <t>Add all procured RECYCLED and SECOND HAND bio-based textiles in kilograms</t>
  </si>
  <si>
    <t>Add all procured VIRGIN synthetic plastics in kilograms</t>
  </si>
  <si>
    <t>Add all procured RECYCLED and SECOND HAND synthetic plastics in kilograms</t>
  </si>
  <si>
    <t>Add all procured VIRGIN bio-based plastics in kilograms</t>
  </si>
  <si>
    <t>Add all procured RECYCLED and SECOND HAND bio-based plastics in kilograms</t>
  </si>
  <si>
    <t>Add all procured VIRGIN paper in kilograms</t>
  </si>
  <si>
    <t>Add all procured RECYCLED paper in kilograms</t>
  </si>
  <si>
    <t>Add all used Reusable cups (RC)</t>
  </si>
  <si>
    <r>
      <t xml:space="preserve">Reusable Cups / Tableware / Cutlery are usually managed by the catering department, or a service provider. Data on this can be found with them. Ask for </t>
    </r>
    <r>
      <rPr>
        <b/>
        <sz val="11"/>
        <color theme="1"/>
        <rFont val="Calibri"/>
        <family val="2"/>
        <scheme val="minor"/>
      </rPr>
      <t>1). Total number of Reusable Cups Used</t>
    </r>
    <r>
      <rPr>
        <sz val="11"/>
        <color theme="1"/>
        <rFont val="Calibri"/>
        <family val="2"/>
        <scheme val="minor"/>
      </rPr>
      <t xml:space="preserve"> </t>
    </r>
  </si>
  <si>
    <t xml:space="preserve">((amount lost RC + amount rejected RC)/All used Reusable Cups)*100 </t>
  </si>
  <si>
    <r>
      <t xml:space="preserve">Reusable Cups / Tableware / Cutlery are usually managed by the catering department, or a service provider. Data on this can be found with them. Ask for </t>
    </r>
    <r>
      <rPr>
        <b/>
        <sz val="11"/>
        <color theme="1"/>
        <rFont val="Calibri"/>
        <family val="2"/>
        <scheme val="minor"/>
      </rPr>
      <t xml:space="preserve">1) the percentage of Lost and Rejected Reusable Cups of the total used reusable cups. 
</t>
    </r>
    <r>
      <rPr>
        <sz val="11"/>
        <color theme="1"/>
        <rFont val="Calibri"/>
        <family val="2"/>
        <scheme val="minor"/>
      </rPr>
      <t xml:space="preserve">If this data is not available ask for </t>
    </r>
    <r>
      <rPr>
        <b/>
        <sz val="11"/>
        <color theme="1"/>
        <rFont val="Calibri"/>
        <family val="2"/>
        <scheme val="minor"/>
      </rPr>
      <t>1). Total number of lost Reusable Cups, 2) total number of rejected Reusable Cups</t>
    </r>
    <r>
      <rPr>
        <sz val="11"/>
        <color theme="1"/>
        <rFont val="Calibri"/>
        <family val="2"/>
        <scheme val="minor"/>
      </rPr>
      <t xml:space="preserve"> </t>
    </r>
  </si>
  <si>
    <t>add all used Reusable Tableware</t>
  </si>
  <si>
    <r>
      <t xml:space="preserve">Reusable Cups / Tableware / Cutlery are usually managed by the catering department, or a service provider. Data on this can be found with them. Ask for </t>
    </r>
    <r>
      <rPr>
        <b/>
        <sz val="11"/>
        <color theme="1"/>
        <rFont val="Calibri"/>
        <family val="2"/>
        <scheme val="minor"/>
      </rPr>
      <t>1). Total number of Reusable tableware Used</t>
    </r>
    <r>
      <rPr>
        <sz val="11"/>
        <color theme="1"/>
        <rFont val="Calibri"/>
        <family val="2"/>
        <scheme val="minor"/>
      </rPr>
      <t xml:space="preserve"> </t>
    </r>
  </si>
  <si>
    <t xml:space="preserve">((amount lost RT + amount rejected RT)/All used Reusable Tableware)*100 </t>
  </si>
  <si>
    <r>
      <t xml:space="preserve">Reusable Cups / Tableware / Cutlery are usually managed by the catering department, or a service provider. Data on this can be found with them. Ask for </t>
    </r>
    <r>
      <rPr>
        <b/>
        <sz val="11"/>
        <color theme="1"/>
        <rFont val="Calibri"/>
        <family val="2"/>
        <scheme val="minor"/>
      </rPr>
      <t xml:space="preserve">1) the percentage of Lost and Rejected Reusable Tableware of the total used Reusable Tableware. 
</t>
    </r>
    <r>
      <rPr>
        <sz val="11"/>
        <color theme="1"/>
        <rFont val="Calibri"/>
        <family val="2"/>
        <scheme val="minor"/>
      </rPr>
      <t xml:space="preserve">If this data is not available ask for </t>
    </r>
    <r>
      <rPr>
        <b/>
        <sz val="11"/>
        <color theme="1"/>
        <rFont val="Calibri"/>
        <family val="2"/>
        <scheme val="minor"/>
      </rPr>
      <t>1). Total number of lost Reusable Tableware, 2) total number of rejected Reusable Tableware.</t>
    </r>
    <r>
      <rPr>
        <sz val="11"/>
        <color theme="1"/>
        <rFont val="Calibri"/>
        <family val="2"/>
        <scheme val="minor"/>
      </rPr>
      <t xml:space="preserve"> </t>
    </r>
  </si>
  <si>
    <t>Add all used Reusable Cutlery</t>
  </si>
  <si>
    <r>
      <t xml:space="preserve">Reusable Cups / Tableware / Cutlery are usually managed by the catering department, or a service provider. Data on this can be found with them. Ask for </t>
    </r>
    <r>
      <rPr>
        <b/>
        <sz val="11"/>
        <color theme="1"/>
        <rFont val="Calibri"/>
        <family val="2"/>
        <scheme val="minor"/>
      </rPr>
      <t>1). Total number of Reusable Cutlery Used</t>
    </r>
    <r>
      <rPr>
        <sz val="11"/>
        <color theme="1"/>
        <rFont val="Calibri"/>
        <family val="2"/>
        <scheme val="minor"/>
      </rPr>
      <t xml:space="preserve"> </t>
    </r>
  </si>
  <si>
    <t xml:space="preserve">((amount lost Cutlery + amount rejected Cutlery)/All used Reusable Cutlery)*100 </t>
  </si>
  <si>
    <r>
      <t xml:space="preserve">Reusable Cups / Tableware / Cutlery are usually managed by the catering department, or a service provider. Data on this can be found with them. Ask for </t>
    </r>
    <r>
      <rPr>
        <b/>
        <sz val="11"/>
        <color theme="1"/>
        <rFont val="Calibri"/>
        <family val="2"/>
        <scheme val="minor"/>
      </rPr>
      <t xml:space="preserve">1) the percentage of Lost and Rejected Reusable Cups of the total used reusable cups. 
</t>
    </r>
    <r>
      <rPr>
        <sz val="11"/>
        <color theme="1"/>
        <rFont val="Calibri"/>
        <family val="2"/>
        <scheme val="minor"/>
      </rPr>
      <t xml:space="preserve">If this data is not available ask for </t>
    </r>
    <r>
      <rPr>
        <b/>
        <sz val="11"/>
        <color theme="1"/>
        <rFont val="Calibri"/>
        <family val="2"/>
        <scheme val="minor"/>
      </rPr>
      <t>1). Total number of lost Reusable Cutlery, 2) total number of rejected Reusable Cutlery.</t>
    </r>
    <r>
      <rPr>
        <sz val="11"/>
        <color theme="1"/>
        <rFont val="Calibri"/>
        <family val="2"/>
        <scheme val="minor"/>
      </rPr>
      <t xml:space="preserve"> </t>
    </r>
  </si>
  <si>
    <t xml:space="preserve">Add all used Recyclable Cups, made from virgin synthetic plastic </t>
  </si>
  <si>
    <r>
      <t xml:space="preserve">Recyclable/Compostable Cups, Tableware &amp; Cutlery are usually managed by the catering department, or a service provider. Data on this can be found with them. Ask for </t>
    </r>
    <r>
      <rPr>
        <b/>
        <sz val="11"/>
        <color theme="1"/>
        <rFont val="Calibri"/>
        <family val="2"/>
        <scheme val="minor"/>
      </rPr>
      <t xml:space="preserve">1) Total amount of used Recyclable and Compostable Cups, 2) Total amount of used Recyclable and Compostable Tableware, 3) Total amount of used Recyclable and Compostable Cutlery.  AND 1). The actual Recycling/Composting Percentage of used Recyclable/Compostable Cups, 2) The actual Recycling/Composting Percentage of used Recyclable/Compostable Tableware, 3) The actual Recycling/composting Percentage of used Recyclable/Compostable Cutlery. 
</t>
    </r>
  </si>
  <si>
    <t xml:space="preserve">Add all used Recyclable Cups, made from bio-based or recycled plastic </t>
  </si>
  <si>
    <t>See line 101: Recycling single use cups, tableware and cutlery</t>
  </si>
  <si>
    <t>Recycling/composting percentage single-use cups</t>
  </si>
  <si>
    <t>(Total amount of RECYCLED Recyclable Cups + Total amount of COMPOSTED Compostable Cups) / (Total amount of USED Recyclable Cups + Total amount of USED Compostable Cups) * 100</t>
  </si>
  <si>
    <t>Add all used Recyclable/Compostable Tableware, made from virgin synthetic plastic</t>
  </si>
  <si>
    <t xml:space="preserve">Add all used Recyclable/Compostable Tableware, made from bio-based or recycled plastic </t>
  </si>
  <si>
    <t>(Total amount of RECYCLED Recyclable Tableware + Total amount of COMPOSTED Compostable Tableware) / (Total amount of USED Recyclable Tableware + Total amount of USED Compostable Tableware) * 100</t>
  </si>
  <si>
    <t>Add all used Recyclable/Compostable Cutlery, made from virgin synthetic plastic</t>
  </si>
  <si>
    <t xml:space="preserve">Add all used Recyclable/Compostable Cutlery, made from bio-based or recycled plastic </t>
  </si>
  <si>
    <t>(Total amount of RECYCLED Recyclable Cutlery + Total amount of COMPOSTED Compostable Cutlery) / (Total amount of USED Recyclable Cutlery + Total amount of USED Compostable Cutlery) * 100</t>
  </si>
  <si>
    <t>Add all Recycled Paper/Cardboard in kilograms</t>
  </si>
  <si>
    <r>
      <t xml:space="preserve">Recycling of waste/resources is done by waste/resource companies who can provide a specified invoice with processed materials (in kilograms or tonnes). Mostly facilitated by the festival's technical production and/or a service party. Ask for </t>
    </r>
    <r>
      <rPr>
        <b/>
        <sz val="11"/>
        <color theme="1"/>
        <rFont val="Calibri"/>
        <family val="2"/>
        <scheme val="minor"/>
      </rPr>
      <t>(1) total amounts of all respective recycled materials in kilograms (or tonnes and translate to kilograms).</t>
    </r>
  </si>
  <si>
    <t>If not already in use, develop and implement waste/resource separation in as many clean mono flows as possible (as your service parties can handle). Make sure the service parties involved deliver clear and specific invoices including tonnes/kilograms of specific processed resources. See suggestions list for recyclable resources.</t>
  </si>
  <si>
    <t>Suggestions for all Materials categories; material flows that can be separated on site: 1. Paper/cardboard, 2. Glass, 3. PMD / mixed packaging, 4. Plastic, 5. Aluminium, 6. Metals, Organic/food-waste, 7. Cooking Oil, 8. Wood (NO paint/solid), 9. Building/ demolition waste, 10. Residual waste</t>
  </si>
  <si>
    <t>Add all Recycled Glass in kilograms</t>
  </si>
  <si>
    <t>See line 113: Recycled materials</t>
  </si>
  <si>
    <t>Add all Recycled PMD/Mixed Packaging in kilograms</t>
  </si>
  <si>
    <t>Add all Recycled Plastic in kilograms</t>
  </si>
  <si>
    <t>Add all Recycled Aluminum in kilograms</t>
  </si>
  <si>
    <t>Add all Recycled Metal in kilograms</t>
  </si>
  <si>
    <t>Add all Composted Organic material in kilograms</t>
  </si>
  <si>
    <t>Add all Recycled Cooking Oil in liters</t>
  </si>
  <si>
    <t>Add all Recycled Wood in kilograms</t>
  </si>
  <si>
    <t>Add all Recycled Building/demolition materials in kilograms</t>
  </si>
  <si>
    <t xml:space="preserve">Incineration after post seperation </t>
  </si>
  <si>
    <t>number of kilograms of residual waste that was post-separated. (2) if available; average post-separation percentage achieved by specific waste company (note in the comments)</t>
  </si>
  <si>
    <r>
      <t xml:space="preserve">Residual </t>
    </r>
    <r>
      <rPr>
        <sz val="11"/>
        <color theme="1"/>
        <rFont val="Calibri"/>
        <family val="2"/>
        <scheme val="minor"/>
      </rPr>
      <t xml:space="preserve">waste processing is done by waste/resource companies who can provide a specified invoice with processed materials (in kilograms or tonnes). Ask for </t>
    </r>
    <r>
      <rPr>
        <b/>
        <sz val="11"/>
        <color theme="1"/>
        <rFont val="Calibri"/>
        <family val="2"/>
        <scheme val="minor"/>
      </rPr>
      <t>(1) total amount festival residual waste post-separated in kilograms/tonnes (2) if available; average post-separation percentage achieved by specific waste company (note in the comments).</t>
    </r>
  </si>
  <si>
    <t>number of kilograms of residual waste that was incinerated (WITH energy recovery)</t>
  </si>
  <si>
    <r>
      <t xml:space="preserve">Residual </t>
    </r>
    <r>
      <rPr>
        <sz val="11"/>
        <color theme="1"/>
        <rFont val="Calibri"/>
        <family val="2"/>
        <scheme val="minor"/>
      </rPr>
      <t xml:space="preserve">waste processing is done by waste/resource companies who can provide a specified invoice with processed materials (in kilograms or tonnes). Ask for </t>
    </r>
    <r>
      <rPr>
        <b/>
        <sz val="11"/>
        <color theme="1"/>
        <rFont val="Calibri"/>
        <family val="2"/>
        <scheme val="minor"/>
      </rPr>
      <t>(1) total amount festival residual waste incinerated (WITH energy recovery) in kilograms/tonnes.</t>
    </r>
  </si>
  <si>
    <t>number of kilograms of residual waste that was incinerated (NO energy recovery)</t>
  </si>
  <si>
    <r>
      <t xml:space="preserve">Residual waste processing is done by waste/resource companies who can provide a specified invoice with processed materials (in kilograms or tonnes). Ask for </t>
    </r>
    <r>
      <rPr>
        <b/>
        <sz val="11"/>
        <color theme="1"/>
        <rFont val="Calibri"/>
        <family val="2"/>
        <scheme val="minor"/>
      </rPr>
      <t>(1) total amount festival residual waste incinerated (NO energy recovery) in kilograms/tonnes</t>
    </r>
    <r>
      <rPr>
        <sz val="11"/>
        <color theme="1"/>
        <rFont val="Calibri"/>
        <family val="2"/>
        <scheme val="minor"/>
      </rPr>
      <t>.</t>
    </r>
  </si>
  <si>
    <t>number of kilograms of residual waste that was landfilled</t>
  </si>
  <si>
    <t>Residual waste processing is done by waste/resource companies who can provide a specified invoice with processed materials (in kilograms or tonnes). Ask for (1) total amount festival residual waste that was land filled in kilograms/tonnes.</t>
  </si>
  <si>
    <t>In the travel section - for visitors, Artists, Crew and Volunteers - it is primarily about the MAIN MEANS OF TRAVEL. Always fill in the average km and percentages for the MAIN MEANS OF TRAVEL = the modality that people used the longest on their way to the event (so not the first or last mile). For standard forms of first/last mile transport an extra optional section has been added at the end of each section; shuttle or ship/ferry. 
The km boxes; When the data is known it can be filled in as an average single journey in km per modality per traveler. When the data left open (select 'no data' in column F) the tool will use an average; short 7,5km, medium vistors&amp;crew 80 km/artists 200 km, long vistors&amp;crew 750 km/artists 2500 km.
The percentage boxes: Always fill in percentages per main means of travel (modality), which are easiest obtained through a visitor survey afterwards. The percentage boxes together must add up to 100% (cells are RED when not 100% and turn GREEN when 100%).
Example: Visitor came by bus to the international airport and took the plane to the airport nearest to the event and then took the festival shuttle to the event, calculate: x km by airplane (main means of travel) and x km by shuttle (other means of transport). If a visitor traveled by bicycle and then by train and walked the last bit, it should be counted as: x km by train (main means of travel). If a visitor walks from their house to the event: x km by foot (main means of travel).</t>
  </si>
  <si>
    <r>
      <t xml:space="preserve">The amount of km traveled by visitors can be collected in different ways: 
1. ticket sales information (in combination with audience survey), 
2. Audience survey (including travel distance and modal split questions)
3. Travel applications. 
Ask (all/part of) visitors for at least: </t>
    </r>
    <r>
      <rPr>
        <b/>
        <sz val="11"/>
        <color rgb="FF000000"/>
        <rFont val="Calibri"/>
        <family val="2"/>
        <scheme val="minor"/>
      </rPr>
      <t xml:space="preserve">(1) for their MAIN MEANS of Travel, and if possible 2) for single journey travel km.
</t>
    </r>
    <r>
      <rPr>
        <sz val="11"/>
        <color rgb="FF000000"/>
        <rFont val="Calibri"/>
        <family val="2"/>
        <scheme val="minor"/>
      </rPr>
      <t>See survey suggestions.</t>
    </r>
  </si>
  <si>
    <t>Option 1 ticket sales data with audience survey: add query and request sales location/geo data from ticket sales. 
Divide Geo ticket data in 3 categories: a) short; under 15, b) medium; above 15 km and under 500km, c) long/international; above 500 km. 
Calculate 3 average distances for all three distance categories and fill in at 'short', 'medium' and 'long' average distance in km boxes.
Use Audience survey (input travel questions) to determine modal split (percentages for every mode of transport). Fill these in at the appropriate percentage boxes for short, medium and long travel. These should always add up to a 100% percent.
Option 2 audience survey: add 2 questions to audience survey, (travel distance &amp; Main means of travel) see survey suggestions. Do calculations as mentioned above.
Option 3 travel application: develop and implement a travel application that can follow or inventory your visitors travel behaviour.</t>
  </si>
  <si>
    <t>Suggestion for survey question for visitors travel category (Modal split): 
Optional:
1. How far did you travel? …. Km (if answered, a lot of people leave this open, because they don't know)
Minimum:
2. What was your Main Means of travel? Choose only the mode of transport you traveled in the longest:
(a.) Foot, Bicycle
(b.) Metro, Tram 
(c). Local bus on fossil fuel
d) Elektric/biofuel local bus 
(e.) Car/minibus/taxi on fossil-fuel: (if chosen; how many people in the car?) 
(f.) Car/minibus/taxi on biofuel / electric: (if chosen; how many people in the car?) 
(g.) (Festival) coach on fossil fuel
(h.) (Festival) coach on biofuel / electric
(i.) Train
(j.) Airplane</t>
  </si>
  <si>
    <t>Percentage of total amount of visitors traveling by this means of travel (one way)</t>
  </si>
  <si>
    <t>See line 131: Travel and Transport / Visitors</t>
  </si>
  <si>
    <t>Average amount of km per visitor traveling by this means of travel</t>
  </si>
  <si>
    <t>Average amount of visitors per this type vehicle</t>
  </si>
  <si>
    <t>Visitors OTHER MEANS OF TRAVEL - travel modalities and distances that are not part of MAIN MEANS OF TRAVEL</t>
  </si>
  <si>
    <t>Fill in the amount of people that have used SHIP/FERRY as SECONDARY / OTHER MEANS OF TRAVEL (also referred to as first or last mile).</t>
  </si>
  <si>
    <t>Total amount of visitor using this means of travel (one way)</t>
  </si>
  <si>
    <r>
      <t xml:space="preserve">Last mile transportation as meant here is often organised by the festival itself or by a service provider. Ask for </t>
    </r>
    <r>
      <rPr>
        <b/>
        <sz val="11"/>
        <color rgb="FF000000"/>
        <rFont val="Calibri"/>
        <family val="2"/>
        <scheme val="minor"/>
      </rPr>
      <t>1) total amount of visitors using Ship/Ferry  (one way), 2) average km traveled per visitor using Ship/Ferry (one way), 3) how many percent of these travelers were transported by Sailing boat or Electric or Biofuel run ships.</t>
    </r>
  </si>
  <si>
    <t>Let the operators of this type of last mile transport know what data you will want to receive from them after the festival.</t>
  </si>
  <si>
    <t>Average amount of km per visitor traveling by this means of travel (one way)</t>
  </si>
  <si>
    <t>See line 165: Visitors other means of travel</t>
  </si>
  <si>
    <t>Percentage of visitors on ship or ferry that used sailing electric biofuel propulsion (one way)</t>
  </si>
  <si>
    <t>Fill in the amount of visitors that have used (festival) SHUTTLE as SECONDARY / OTHER MEANS OF TRAVEL (also referred to as first or last mile).</t>
  </si>
  <si>
    <r>
      <t xml:space="preserve">Last mile transportation as meant here is often organised by the festival itself or by a service provider. Ask for </t>
    </r>
    <r>
      <rPr>
        <b/>
        <sz val="11"/>
        <color rgb="FF000000"/>
        <rFont val="Calibri"/>
        <family val="2"/>
        <scheme val="minor"/>
      </rPr>
      <t>1) total amount of visitors using a shuttle  (one way), 2) average km traveled per visitor using shuttle (one way), 3) how many percent of these travelers with shuttles were transported (one way) by Electric or Biofuel vehicle.</t>
    </r>
  </si>
  <si>
    <t>See line 169: Visitors other means of travel</t>
  </si>
  <si>
    <t>Percentage of visitors (one way) on shuttles that used electric or biofuel propulsion</t>
  </si>
  <si>
    <r>
      <t xml:space="preserve">Artists travel is commonly facilitated by the programming team or a service party. two options: 
(A.) If the system is properly digitised Ask for </t>
    </r>
    <r>
      <rPr>
        <b/>
        <sz val="11"/>
        <color rgb="FF000000"/>
        <rFont val="Calibri"/>
        <family val="2"/>
        <scheme val="minor"/>
      </rPr>
      <t>(1) Average amount of artists (and accompanying crew and management) single journey kms per artist, for all the different modalities (modes of travel, see list) 
(2) All the different percentages of artists traveling by the different modalities (see list).
(B.)</t>
    </r>
    <r>
      <rPr>
        <sz val="11"/>
        <color rgb="FF000000"/>
        <rFont val="Calibri"/>
        <family val="2"/>
        <scheme val="minor"/>
      </rPr>
      <t xml:space="preserve"> If not possible ask programming for:</t>
    </r>
    <r>
      <rPr>
        <b/>
        <sz val="11"/>
        <color rgb="FF000000"/>
        <rFont val="Calibri"/>
        <family val="2"/>
        <scheme val="minor"/>
      </rPr>
      <t xml:space="preserve"> Per artist (and accompanying crew and management) for (1) the number of single journey km, (2) and their main means of travel (see list of modalities).
</t>
    </r>
    <r>
      <rPr>
        <sz val="11"/>
        <color rgb="FF000000"/>
        <rFont val="Calibri"/>
        <family val="2"/>
        <scheme val="minor"/>
      </rPr>
      <t>With this data, the average single journey travel distance in km per mobility can be calculated by; (number of single journey artist km with a 'fossil car') / (total number of crew + volunteers).
This data can best be obtained, by adding the questions (see list) in the already existing accreditation methode/system, where the artist have to enter their details.</t>
    </r>
  </si>
  <si>
    <t>The travel of artists is sometimes difficult to grasp because of touring or next performances. So to standardize the way we measure artist travel distance, we only calculate one way, and when on tour, only the last leg of the journey from home (starting the tour) or the last performance location (during touring). To communicate this with the artists when asking for their data is important (see suggested questions).
For calculating modal split we ask for the artists main means of travel (the means of transport they used for the longest distance). And again when on tour only for the last leg of their tour to this festival/concert.
When travel distance is know per artist, divide individual distances over 3 categories: a) short; under 15, b) medium; above 15 km and under 500km, c) long/international; above 500 km. 
Calculate 3 average distances for all three distance categories and fill in at 'short', 'medium' and 'long' average distance in the appropriate km boxes.</t>
  </si>
  <si>
    <r>
      <t xml:space="preserve">Suggestion for questions for Artist travel category (Modal split): 
1. How far did you travel (one way)? …. Km 
</t>
    </r>
    <r>
      <rPr>
        <i/>
        <sz val="11"/>
        <color theme="1"/>
        <rFont val="Calibri"/>
        <family val="2"/>
        <scheme val="minor"/>
      </rPr>
      <t xml:space="preserve">When on tour, use only last leg of the journey for (one way) distance calculation. 
</t>
    </r>
    <r>
      <rPr>
        <sz val="11"/>
        <color theme="1"/>
        <rFont val="Calibri"/>
        <family val="2"/>
        <scheme val="minor"/>
      </rPr>
      <t xml:space="preserve">
2. What was your Main Means of travel? 
</t>
    </r>
    <r>
      <rPr>
        <i/>
        <sz val="11"/>
        <color theme="1"/>
        <rFont val="Calibri"/>
        <family val="2"/>
        <scheme val="minor"/>
      </rPr>
      <t>Choose only one; the mode of transport you traveled the longest distance with (when on tour, use only last leg of the journey):</t>
    </r>
    <r>
      <rPr>
        <sz val="11"/>
        <color theme="1"/>
        <rFont val="Calibri"/>
        <family val="2"/>
        <scheme val="minor"/>
      </rPr>
      <t xml:space="preserve">
(a.) Foot, Bicycle
(b.) Metro, Tram 
(c). Local bus on fossil fuel
d) Elektric/biofuel local bus 
(e.) Car/minibus/taxi on fossil-fuel: (if chosen; how many people in the car?) 
(f.) Car/minibus/taxi on biofuel / electric: (if chosen; how many people in the car?) 
(g.) (Festival) coach on fossil fuel
(h.) (Festival) coach on biofuel / electric
(i.) Train
(j.) Airplane</t>
    </r>
  </si>
  <si>
    <t>Percentage of total amount of artists traveling by this means of travel (one way)</t>
  </si>
  <si>
    <t>See line 172: Travel and Transport / Artists</t>
  </si>
  <si>
    <t>Average amount of km per artist traveling by this means of travel (one way)</t>
  </si>
  <si>
    <t>Average amount of artists per this type vehicle</t>
  </si>
  <si>
    <t>Artists OTHER MEANS OF TRAVEL - travel modalities and distances that are not part of MAIN MEANS OF TRAVEL</t>
  </si>
  <si>
    <t>Total amount of artists using this means of travel (one way)</t>
  </si>
  <si>
    <r>
      <t xml:space="preserve">Last mile transportation as meant here is often organised by the festival itself or by a service provider. Ask for </t>
    </r>
    <r>
      <rPr>
        <b/>
        <sz val="11"/>
        <color rgb="FF000000"/>
        <rFont val="Calibri"/>
        <family val="2"/>
        <scheme val="minor"/>
      </rPr>
      <t>1) total amount of Artists using Ship/Ferry  (one way), 2) average km traveled per Artist using Ship/Ferry (one way), 3) how many percent of these travelers were transported by Sailing boat or Electric or Biofuel run ships.</t>
    </r>
  </si>
  <si>
    <t>See line 206: Travel and Transport / Artists other means of travel</t>
  </si>
  <si>
    <t>Percentage of visitors on ship or ferry that used sailing or electric or biofuel propulsion (one way)</t>
  </si>
  <si>
    <r>
      <t xml:space="preserve">Last mile transportation as meant here is often organised by the festival itself or by a service provider. Ask for </t>
    </r>
    <r>
      <rPr>
        <b/>
        <sz val="11"/>
        <color rgb="FF000000"/>
        <rFont val="Calibri"/>
        <family val="2"/>
        <scheme val="minor"/>
      </rPr>
      <t>1) total amount of Artists using a shuttle  (one way), 2) average km traveled per Artist using shuttle (one way), 3) how many percent of these travelers with shuttles were transported (one way) by Electric or Biofuel vehicle.</t>
    </r>
  </si>
  <si>
    <t>Percentage of artists on shuttles, that used electric or biofuel propulsion (one way)</t>
  </si>
  <si>
    <t>CREW, VOLUNTEERS AND SUPPLIER CREW</t>
  </si>
  <si>
    <r>
      <rPr>
        <sz val="12"/>
        <color theme="1"/>
        <rFont val="Calibri"/>
        <family val="2"/>
        <scheme val="minor"/>
      </rPr>
      <t xml:space="preserve">Crew and volunteer + supplier crew travel is commonly facilitated by the production (HR) team or a service party. Two options: 
(A.) If the system is properly digitised Ask for </t>
    </r>
    <r>
      <rPr>
        <b/>
        <sz val="12"/>
        <color theme="1"/>
        <rFont val="Calibri"/>
        <family val="2"/>
        <scheme val="minor"/>
      </rPr>
      <t>(1) Average amount of volunteer + supplier crew single journey kms per crew, volunteer + supplier crew, for all the different modalities (modes of travel, see list) 
(2) All the different percentages of Crew, Volunteer + supplier crew by the different modalities (see list).</t>
    </r>
    <r>
      <rPr>
        <sz val="12"/>
        <color theme="1"/>
        <rFont val="Calibri"/>
        <family val="2"/>
        <scheme val="minor"/>
      </rPr>
      <t xml:space="preserve">
(B.) If not possible ask HR or production team for: </t>
    </r>
    <r>
      <rPr>
        <b/>
        <sz val="12"/>
        <color theme="1"/>
        <rFont val="Calibri"/>
        <family val="2"/>
        <scheme val="minor"/>
      </rPr>
      <t xml:space="preserve">(1) single journey travel distance in km per crew and volunteer + supplier crew member, (2) and their main means of travel (see list of modalities).
</t>
    </r>
    <r>
      <rPr>
        <sz val="12"/>
        <color theme="1"/>
        <rFont val="Calibri"/>
        <family val="2"/>
        <scheme val="minor"/>
      </rPr>
      <t>With this data, the average single journey travel distance in km per mobility can be calculated by; (number of single journey crew + volunteers + supplier crew km with a 'fossil car') / (total number of crew + volunteers + supplier crew).
This data can best be obtained, by adding the questions (see list) in the already existing accreditation methode/system, where the crew and volunteers and supplier crew have to enter their details.</t>
    </r>
  </si>
  <si>
    <t>If not already in use, develop and implement crew registration tool where crew and volunteers or the festival can fill in the crew and volunteer and supplier crew travel data.
Always inform the responsible department far ahead of the festival which data will be asked of them, so they can prepare their systems for it.
When travel distance is know per crew and volunteer member divide individual distances over 3 categories: a) short; under 15, b) medium; above 15 km and under 500km, c) long/international; above 500 km. 
Calculate 3 average distances for all three distance categories and fill in at 'short', 'medium' and 'long' average distance in the appropriate km boxes.</t>
  </si>
  <si>
    <t>Suggestion for questions for crew and volunteers and supplier crew travel category: Distance and modal split 
1. How far did you travel (one way)? …. km
2. What was your Main Means of travel? Choose only the mode of transport you traveled in the longest distance to get to the event:
(a.) Foot, Bicycle
(b.) Metro, Tram 
(c). Local bus on fossil fuel
d) Elektric/biofuel local bus 
(e.) Car/minibus/taxi on fossil-fuel: (if chosen; how many people in the car?) 
(f.) Car/minibus/taxi on biofuel / electric: (if chosen; how many people in the car?) 
(g.) (Festival) coach on fossil fuel
(h.) (Festival) coach on biofuel / electric
(i.) Train
(j.) Airplane</t>
  </si>
  <si>
    <t>Percentage of total amount of crew + volunteers + supplier crew traveling by this means of travel (one way)</t>
  </si>
  <si>
    <t>See line 213: Travel and Transport / Crew and Volunteers and Supplier crew</t>
  </si>
  <si>
    <t>Average distanceCREW, VOLUNTEERS and SUPPLIERS on FOOT or BICYCLE (one-way)</t>
  </si>
  <si>
    <t>Average amount of km per (crew, volunteer and supplier crew) traveling by this means of travel (one way)</t>
  </si>
  <si>
    <t>Average amount of crew + volunteers + supplier crew per this type vehicle</t>
  </si>
  <si>
    <t>Crew, Volunteers and Suppliers OTHER MEANS OF TRAVEL - travel modalities and distances that are not part of MAIN MEANS OF TRAVEL</t>
  </si>
  <si>
    <t>Total amount of crew + volunteers + supplier crew using this means of travel (one way)</t>
  </si>
  <si>
    <r>
      <t xml:space="preserve">Last mile transportation as meant here is often organised by the festival itself or by a service provider. Ask for </t>
    </r>
    <r>
      <rPr>
        <b/>
        <sz val="11"/>
        <color rgb="FF000000"/>
        <rFont val="Calibri"/>
        <family val="2"/>
        <scheme val="minor"/>
      </rPr>
      <t>1) total amount of Crew + Volunteers using Ship/Ferry (one way), 2) average km traveled per (Crew, Volunteer and supplier crew) using Ship/Ferry (one way), 3) how many percent of these travelers were transported by Sailing boat or Electric or Biofuel run ships.</t>
    </r>
  </si>
  <si>
    <t>See line 247: Travel and Transport / Crew and Volunteers and Supplier crew other means of travel</t>
  </si>
  <si>
    <t>Percentage of crew + volunteers + supplier crew on ship or ferry that used sailing electric biofuel propulsion (one way)</t>
  </si>
  <si>
    <r>
      <t xml:space="preserve">Last mile transportation as meant here is often organised by the festival itself or by a service provider. Ask for </t>
    </r>
    <r>
      <rPr>
        <b/>
        <sz val="11"/>
        <color rgb="FF000000"/>
        <rFont val="Calibri"/>
        <family val="2"/>
        <scheme val="minor"/>
      </rPr>
      <t>1) total amount of Crew + volunteers + supplier crew using a shuttle (one way), 2) average km traveled per (Crew, volunteer, supplier crew) using shuttle (one way), 3) how many percent of these travelers with shuttles were transported (one way) by Electric or Biofuel vehicle.</t>
    </r>
  </si>
  <si>
    <t>See line 251: Travel and Transport / Crew and Volunteers and Supplier crew other means of travel</t>
  </si>
  <si>
    <t>Percentage of crew + volunteers + supplier crew on shuttles, that used electric or biofuel propulsion (one way)</t>
  </si>
  <si>
    <t>All RENEWABLE kWh of ELECTRICITY used for onsite transportation of personnel and goods and the use of building equipment. The most common category of vehicles will be golf carts, forklifts, busses, and cars.</t>
  </si>
  <si>
    <t>add all Renewable kWh of electricity used for onsite transportation and building equipment purposes only</t>
  </si>
  <si>
    <r>
      <t xml:space="preserve">Onsite transportation and building equipment is commonly facilitated by the (technical) production team or a service party. Ask them for </t>
    </r>
    <r>
      <rPr>
        <b/>
        <sz val="12"/>
        <color rgb="FF000000"/>
        <rFont val="Calibri"/>
        <family val="2"/>
        <scheme val="minor"/>
      </rPr>
      <t xml:space="preserve">(1) Types of fuel </t>
    </r>
    <r>
      <rPr>
        <b/>
        <i/>
        <sz val="12"/>
        <color rgb="FF000000"/>
        <rFont val="Calibri"/>
        <family val="2"/>
        <scheme val="minor"/>
      </rPr>
      <t>(or energy carrier, see list</t>
    </r>
    <r>
      <rPr>
        <b/>
        <sz val="12"/>
        <color rgb="FF000000"/>
        <rFont val="Calibri"/>
        <family val="2"/>
        <scheme val="minor"/>
      </rPr>
      <t xml:space="preserve">) used for Onsite transportation and building equipment, and the (2) total amount of liters/kWh/kg per fuel/energy cariere (for onsite transportation and building equipment.
</t>
    </r>
    <r>
      <rPr>
        <sz val="12"/>
        <color rgb="FF000000"/>
        <rFont val="Calibri"/>
        <family val="2"/>
        <scheme val="minor"/>
      </rPr>
      <t>When exact data gathering is difficult, good estimations can be made by making a list of the used equipment, determining their running hours (mostly registered in the machines), calculating a total amount of fuel/kWh/kg use.</t>
    </r>
  </si>
  <si>
    <t xml:space="preserve">If not already in use, develop and implement Onsite transportation and building equipment registration tool (minimum excel sheet) where users and contractors or the festival can fill in their Onsite transportation and building equipment data. 
If a tool/system is already in use add Onsite transportation and building equipment data questions to the tool (see suggestions).
</t>
  </si>
  <si>
    <t>Suggestion for Onsite transportation and building equipment registration tool question:
1. How many liters/kWh/kg of each type of fuel or energy carrier was used by each used vehicle for Onsite transportation and building purposes?
a. Electricity                                                            Amount of kWh  .........
b. Sustainable biofuel (HVO-UCO/Tall B100)   Amount of Liters  ........
c. Fossil diesel                                                        Amount of Liters   .........
d. Fossil gasoline                                                   Amount of Liters  .........
e. Biogas                                                                Amount of kg  .........
f. Fossil natural gas                                                Amount of kg  .........
g. Green Hydrogen                                                Amount of kg  .........
h. Grey Hydrogen                                                 Amount of kg  .........</t>
  </si>
  <si>
    <t>All FOSSIL AND NUCLEAR kWh of ELECTRICITY used for onsite transportation of personnel and goods and the use of building equipment. The most common category of vehicles will be golf carts, forklifts, busses, and cars.</t>
  </si>
  <si>
    <t>add all NON-Renewable kWh of electricity used for onsite transportation and building equipment purposes only</t>
  </si>
  <si>
    <t>See line 255: Travel and Transport / INTERNAL TRANSPORT AND BUILDING</t>
  </si>
  <si>
    <t>Sustainable biofuel (HVO-UCO/Tall B1)</t>
  </si>
  <si>
    <t>All LITERS OF SUTAINABLE BIO FUEL (HVO-UCO/Tall B100) used for onsite transportation of personnel and goods and the use of building equipment. The most common category of vehicles will be golf carts, forklifts, busses, and cars.</t>
  </si>
  <si>
    <t>add all liters of HVO used for onsite transportation and building equipment purposes only</t>
  </si>
  <si>
    <t>All LITERS OF FOSSIL FUEL used for onsite transportation of personnel and goods and the use of building equipment. The most common category of vehicles will be golf carts, forklifts, busses, and cars.</t>
  </si>
  <si>
    <t>add all liters of fossil diesel used for onsite transportation and building equipment purposes only</t>
  </si>
  <si>
    <t>All LITERS OF FOSSIL GASOLINE (BENZINE) used for onsite transportation of personnel and goods and the use of building equipment. The most common category of vehicles will be golf carts, forklifts, busses, and cars.</t>
  </si>
  <si>
    <t>add all liters of gasoline used for onsite transportation and building equipment purposes only</t>
  </si>
  <si>
    <t>All KG'S OF BIO GAS used for onsite transportation of personnel and goods and the use of building equipment. The most common category of vehicles will be golf carts, forklifts, busses, and cars.</t>
  </si>
  <si>
    <t>add all kg's of bio gas used for onsite transportation and building equipment purposes only</t>
  </si>
  <si>
    <t>All KG'S OF FOSSIL GAS used for onsite transportation of personnel and goods and the use of building equipment. The most common category of vehicles will be golf carts, forklifts, busses, and cars.</t>
  </si>
  <si>
    <t>add all kg's of fossil gas used for onsite transportation and building equipment purposes only</t>
  </si>
  <si>
    <t>add all kg's of Green Hydrogen gas used for onsite transportation and building equipment purposes only</t>
  </si>
  <si>
    <t>add all kg's of Grey Hydrogen gas used for onsite transportation and building equipment purposes only</t>
  </si>
  <si>
    <r>
      <rPr>
        <sz val="12"/>
        <color rgb="FF000000"/>
        <rFont val="Calibri"/>
        <family val="2"/>
        <scheme val="minor"/>
      </rPr>
      <t xml:space="preserve">Supplier transport and travel is commonly facilitated by the (technical) production team or a service party. Ask suppliers for </t>
    </r>
    <r>
      <rPr>
        <b/>
        <sz val="12"/>
        <color rgb="FF000000"/>
        <rFont val="Calibri"/>
        <family val="2"/>
        <scheme val="minor"/>
      </rPr>
      <t xml:space="preserve">(1) Types of fuel </t>
    </r>
    <r>
      <rPr>
        <b/>
        <i/>
        <sz val="12"/>
        <color rgb="FF000000"/>
        <rFont val="Calibri"/>
        <family val="2"/>
        <scheme val="minor"/>
      </rPr>
      <t>(or energy carrier, see list</t>
    </r>
    <r>
      <rPr>
        <b/>
        <sz val="12"/>
        <color rgb="FF000000"/>
        <rFont val="Calibri"/>
        <family val="2"/>
        <scheme val="minor"/>
      </rPr>
      <t xml:space="preserve">) used for Travel &amp; Transportation only, and the (2) total amount of liters/kWh/kg per fuel/energy cariere (for both transport and travel).
</t>
    </r>
    <r>
      <rPr>
        <sz val="12"/>
        <color rgb="FF000000"/>
        <rFont val="Calibri"/>
        <family val="2"/>
        <scheme val="minor"/>
      </rPr>
      <t>When exact data gathering is difficult, good estimations can be made by making a list of suppliers, determining their home locations, calculating a total amount of km or an average distance for your suppliers, and multiplying this with emission data per km for the type of transport they used (large truck, medium truck, small truck). Emission data for this is country specific, look it up for your country.</t>
    </r>
  </si>
  <si>
    <t xml:space="preserve">If not already in use, develop and implement supplier registration tool (minimum excel sheet) where suppliers and contractors or the festival can fill in their travel and transport data. 
If a tool/system is already in use add travel and transport data questions to the tool (see suggestions).
</t>
  </si>
  <si>
    <t>Suggestion for supplier registration tool question on travel and transport category:
1. How many liters/kWh/kg of each type of fuel or energy carrier was used by your company for direct Travel and Transport (both ways, all modalities) for this event/festival/concert?
a. Electricity                                                            Amount of kWh  .........
b. Sustainable biofuel (HVO-UCO/Tall B100)   Amount of Liters  ........
c. Fossil diesel                                                        Amount of Liters   .........
d. Fossil gasoline                                                   Amount of Liters  .........
e. Biogas                                                                Amount of kg  .........
f. Fossil natural gas                                                Amount of kg  .........
g. Green Hydrogen                                                Amount of kg  .........
h. Grey Hydrogen                                                 Amount of kg  .........</t>
  </si>
  <si>
    <t>All RENEWABLE KWH'S OF ELECTRICITY used by SUPPLIERS for transportation of GOODS TO AND FROM THE EVENT SITE. The most common category of vehicles are trailers and (box) trucks.</t>
  </si>
  <si>
    <t>add all Renewable kWh of electricity used by suppliers for transportation purposes only</t>
  </si>
  <si>
    <t>See line 264: Travel and Transport / Suppliers</t>
  </si>
  <si>
    <t>All FOSSIL AND NUCLEAR KWH'S OF ELECTRICITY used by SUPPLIERS for transportation of GOODS TO AND FROM THE EVENT SITE. The most common category of vehicles are trailers and (box) trucks.</t>
  </si>
  <si>
    <t>add all NON-Renewable kWh of electricity used by suppliers for transportation purposes only</t>
  </si>
  <si>
    <t>All LITERS OF SUTAINABLE BIO FUEL (HVO-UCO/Tall B100) used by SUPPLIERS for transportation of GOODS TO AND FROM THE EVENT SITE. The most common category of vehicles are trailers and (box) trucks.</t>
  </si>
  <si>
    <t>add all liters of HVO used by suppliers for transportation purposes only</t>
  </si>
  <si>
    <t>All LITERS OF FOSSIL FUEL used by SUPPLIERS for transportation of GOODS TO AND FROM THE EVENT SITE. The most common category of vehicles are trailers and (box) trucks.</t>
  </si>
  <si>
    <t>add all liters of fossil diesel used by suppliers for transportation purposes only</t>
  </si>
  <si>
    <t>All LITERS OF FOSSIL GASOLINE (BENZINE) used by SUPPLIERS for transportation of GOODS TO AND FROM THE EVENT SITE. The most common category of vehicles are trailers and (box) trucks.</t>
  </si>
  <si>
    <t>add all liters of gasoline used by suppliers for transportation purposes only</t>
  </si>
  <si>
    <t>All KG'S OF BIO GAS used by SUPPLIERS for transportation of GOODS TO AND FROM THE EVENT SITE. The most common category of vehicles are trailers and (box) trucks.</t>
  </si>
  <si>
    <t>add all kg's of bio gas used by suppliers for transportation purposes only</t>
  </si>
  <si>
    <t>All KG'S OF FOSSIL GAS used by SUPPLIERS for transportation of GOODS TO AND FROM THE EVENT SITE. The most common category of vehicles are trailers and (box) trucks.</t>
  </si>
  <si>
    <t>add all kg's of fossil gas used by suppliers for transportation purposes only</t>
  </si>
  <si>
    <t>add all kg's of Green Hydrogen gas used for by suppliers for transportation purposes only</t>
  </si>
  <si>
    <t>add all kg's of Grey Hydrogen gas used for by suppliers for transportation purposes only</t>
  </si>
  <si>
    <t>all tonnes avoided CO2e by fuel replacement for; air travel + airfreight</t>
  </si>
  <si>
    <r>
      <t xml:space="preserve">Fuel replacement is commonly facilitated by technical production, production, programming and or the sustainability team, through fuel replacement service parties like Goodshipping or SkyNRG. The </t>
    </r>
    <r>
      <rPr>
        <b/>
        <sz val="12"/>
        <color theme="1"/>
        <rFont val="Calibri"/>
        <family val="2"/>
        <scheme val="minor"/>
      </rPr>
      <t>(1) tonnes of avoided CO2e</t>
    </r>
    <r>
      <rPr>
        <sz val="12"/>
        <color theme="1"/>
        <rFont val="Calibri"/>
        <family val="2"/>
        <scheme val="minor"/>
      </rPr>
      <t xml:space="preserve"> will be shown on the invoices.</t>
    </r>
  </si>
  <si>
    <t>all tonnes avoided CO2e by fuel replacement for; maritime travel + maritime transport</t>
  </si>
  <si>
    <t>See line 275: Travel and Transport / Fuel replacement</t>
  </si>
  <si>
    <t>all tonnes avoided CO2e by fuel replacement for; road travel + road transport</t>
  </si>
  <si>
    <r>
      <t xml:space="preserve">Fresh potable water from the utility or trucked fresh protable water, at a festival is commonly done by technical production and/or a service party. Ask for </t>
    </r>
    <r>
      <rPr>
        <b/>
        <sz val="12"/>
        <color rgb="FF000000"/>
        <rFont val="Calibri"/>
        <family val="2"/>
        <scheme val="minor"/>
      </rPr>
      <t>(1) total number of fresh potable water used from water utility grid or water trucks in liters, 2) total amount of non-potable water (groundwater + rainwater + surface water + sea water), 3) Total amount of water in liters that was REUSED on site, 4) Total amount of water that was treated on site and released back into environment inlitres, 5) total amount of waste water (removed from site) in litres.</t>
    </r>
  </si>
  <si>
    <t>If not already in use, make sure water meters are rented, installed, used and read-out on the different water sources (grid, trucks, treatment, reuse, etc). 
If already in use make sure they are read-out and archived (see suggestions for data request).</t>
  </si>
  <si>
    <t>Suggestion for water question list for technical production / service party:
1) total amount of fresh potable water used from water utility grid or water trucks in liters.....?
2) total amount of non-potable water (groundwater + rainwater + surface water + sea water) used in litres .....?
3) Total amount of water in liters that was REUSED on site .....?
4) Total amount of water that was treated on site and released back into environment in litres ....?
5) total amount of waste water (removed from site) in litres ....?</t>
  </si>
  <si>
    <t>add all used liters potable utility water + potable water from other supply sources + potable water from trucks</t>
  </si>
  <si>
    <t>See line 279: Water</t>
  </si>
  <si>
    <t>Fill in all LITERS of NON-POTABLE water consumed at the festival site (including all areas). This includes; ground water, open water, rain water, non filtered, non drinking water, etc.</t>
  </si>
  <si>
    <t>add all used liters of Non-potable water like: groundwater + rainwater + surface water + seawater</t>
  </si>
  <si>
    <t>Fill in total amount of liters of water that has been REUSED on site.</t>
  </si>
  <si>
    <t>add all liters of reused water on site</t>
  </si>
  <si>
    <t>Fill in the total amount of liters waste water that has been cleaned on site and that was released back into the environment (open water, surounding groundwater, etc.)</t>
  </si>
  <si>
    <t>Add all onsite cleaned waste water</t>
  </si>
  <si>
    <t>Fill in total amount of liters (uncleaned) waste-water removed and cleaned off site, by sewage connection or road transport to an ofsite water treatment facility. Leave blank if unknown, estimation will be deduced from total water consumption data.</t>
  </si>
  <si>
    <t>Add all litres of waste water (removed from site)</t>
  </si>
  <si>
    <r>
      <t xml:space="preserve">The Food theme is divided into 2 categories:
</t>
    </r>
    <r>
      <rPr>
        <b/>
        <sz val="12"/>
        <color theme="1"/>
        <rFont val="Calibri"/>
        <family val="2"/>
        <scheme val="minor"/>
      </rPr>
      <t>1. FOOD is subdivided into 2 options. Both options can be used, but don't fill in food twice. Example; fill in crew catering in 'meals' and visitors catering in 'ingredients'.</t>
    </r>
    <r>
      <rPr>
        <sz val="12"/>
        <color theme="1"/>
        <rFont val="Calibri"/>
        <family val="2"/>
        <scheme val="minor"/>
      </rPr>
      <t xml:space="preserve">
a) Food source section, where the food production method and location should be filled in percentages of the total food weight/meals, which ever food option is chosen.
b) Food option 1, where the consumed INGREDIENTS should be filled in (When using both food notation options beware of double counting) 
c) Food option 2, where the consumed MEALS divided over 5 impact categories should be filled in. (When using both food notation options beware of double counting) 
</t>
    </r>
    <r>
      <rPr>
        <b/>
        <sz val="12"/>
        <color theme="1"/>
        <rFont val="Calibri"/>
        <family val="2"/>
        <scheme val="minor"/>
      </rPr>
      <t>2. DRINKS is subdivided into:</t>
    </r>
    <r>
      <rPr>
        <sz val="12"/>
        <color theme="1"/>
        <rFont val="Calibri"/>
        <family val="2"/>
        <scheme val="minor"/>
      </rPr>
      <t xml:space="preserve">
a) Drinks source, where the drinks production method and location should be filled in percentages of the total amount drinks in liters.
b) Drinks impact, where the amount of liters and the production emissions should be filled in per drink type.</t>
    </r>
  </si>
  <si>
    <r>
      <t xml:space="preserve">Food is most commonly facilitated by the food, catering or production (crew catering) department. And executed by vendors, caterers and other service parties. 
(a.) When the food department is set up for this ask for </t>
    </r>
    <r>
      <rPr>
        <b/>
        <sz val="12"/>
        <color theme="1"/>
        <rFont val="Calibri"/>
        <family val="2"/>
        <scheme val="minor"/>
      </rPr>
      <t>1) total amounts in tonnes, of all the different food categories (see suggestions list) OR 2) total amounts of meals of every of the 5 food impact categories (see list), and 3) what percentage of total food being; local and/or organic and/or regenerative produce.</t>
    </r>
    <r>
      <rPr>
        <sz val="12"/>
        <color theme="1"/>
        <rFont val="Calibri"/>
        <family val="2"/>
        <scheme val="minor"/>
      </rPr>
      <t xml:space="preserve">
(b.) When this is difficult or not possible a good estimation can be made by: collecting </t>
    </r>
    <r>
      <rPr>
        <b/>
        <sz val="12"/>
        <color theme="1"/>
        <rFont val="Calibri"/>
        <family val="2"/>
        <scheme val="minor"/>
      </rPr>
      <t>1) menu data from all food serving parties</t>
    </r>
    <r>
      <rPr>
        <sz val="12"/>
        <color theme="1"/>
        <rFont val="Calibri"/>
        <family val="2"/>
        <scheme val="minor"/>
      </rPr>
      <t xml:space="preserve"> (audience, artist, crew catering) and rate all meals on the menu over the 5 food impact categories and the 3 production methods / sources (local, organic, regenerative). Now also collect </t>
    </r>
    <r>
      <rPr>
        <b/>
        <sz val="12"/>
        <color theme="1"/>
        <rFont val="Calibri"/>
        <family val="2"/>
        <scheme val="minor"/>
      </rPr>
      <t>2) the food sales/serving data</t>
    </r>
    <r>
      <rPr>
        <sz val="12"/>
        <color theme="1"/>
        <rFont val="Calibri"/>
        <family val="2"/>
        <scheme val="minor"/>
      </rPr>
      <t xml:space="preserve"> (including audience, artist and crew catering) and divide the sold/served meals over the 5 impact categories and the 3 production methods / sources (local, organic, regenerative). Now you should have an accurate estimation of the amount of every category meals served and their production/source percentage.</t>
    </r>
  </si>
  <si>
    <t>If not already in use, develop and implement a caterer/vendor registration tool where the food data can be filled in by the service parties or the festival.
One option is to use a specific existing tool for this like Klimato, Carbon Cloud, etc...
If already in use add food data questions for option 1 or option 2 (see suggestions list) to the tool and make sure the caterers and vendors fill it in (don't forget to convert kg to tonnes when filling in the input sheet).</t>
  </si>
  <si>
    <t xml:space="preserve">See line 293 for Option 1 - based on weight of ingredients used
See line 302 for option 2 - 5 Impact categories of meals </t>
  </si>
  <si>
    <t>Food - Source</t>
  </si>
  <si>
    <t>Percentage of total amount (in tonnes) consumed which are organically grown (including; visitor, artist and crew catering)</t>
  </si>
  <si>
    <t>(tonnes of organic food / total tonnes of food)*100</t>
  </si>
  <si>
    <t>See line 288: Food</t>
  </si>
  <si>
    <t>Percentage of total amount (in tonnes) consumed which are regeneratively grown (including; visitor, artist and crew catering)</t>
  </si>
  <si>
    <t>((tonnes of regenerative produced food) / total tonnes of food)*100</t>
  </si>
  <si>
    <t>Percentage of total amount (in tonnes) consumed which are locally grown and produced (within 200 km) (including; visitor, artist and crew catering)</t>
  </si>
  <si>
    <t>(tonnes of local food / total tonnes of food)*100</t>
  </si>
  <si>
    <t>Food Option 1 -  based on Ingredients (if chosen)</t>
  </si>
  <si>
    <r>
      <rPr>
        <sz val="12"/>
        <color rgb="FF000000"/>
        <rFont val="Calibri"/>
        <family val="2"/>
        <scheme val="minor"/>
      </rPr>
      <t xml:space="preserve">Suggestion for food data questions </t>
    </r>
    <r>
      <rPr>
        <b/>
        <sz val="12"/>
        <color rgb="FF000000"/>
        <rFont val="Calibri"/>
        <family val="2"/>
        <scheme val="minor"/>
      </rPr>
      <t>Option 1</t>
    </r>
    <r>
      <rPr>
        <sz val="12"/>
        <color rgb="FF000000"/>
        <rFont val="Calibri"/>
        <family val="2"/>
        <scheme val="minor"/>
      </rPr>
      <t xml:space="preserve"> list for caterers and vendors:
For exact emission figures per category see the 'what to fill in...' section for every category.
(a.) How many kg of vegetables did you use?  … kg 
(b.) How many kg of grains did you use?          … kg 
(c.) How many kg of fruits did you use?           … kg 
(d.) How many kg of sauces did you use?        … kg 
(e.) How many kg of dairy did you use?            … kg 
(f.) How many kg of red meat did you use?      … kg 
(g.) How many kg of white meat did you use?  … kg 
(h.) How many kg of fish did you use?               … kg
(i.)What percentage of the ingredients served were certified organic?  … % 
(j.) What percentage of the ingredients served were regenerative produce? … %
(k.) What percentage of the ingredients served were local grown (within 200km)? ...%</t>
    </r>
  </si>
  <si>
    <t>add all tonnes of vegetables</t>
  </si>
  <si>
    <t>See line 293: Food</t>
  </si>
  <si>
    <t>add all tonnes of grains</t>
  </si>
  <si>
    <t>add all tonnes of fruits</t>
  </si>
  <si>
    <t>add all tonnes of sauces</t>
  </si>
  <si>
    <t>add all tonnes of dairy</t>
  </si>
  <si>
    <t>add all tonnes of red meat</t>
  </si>
  <si>
    <t>add all tonnes of white meat</t>
  </si>
  <si>
    <t>add all tonnes of fish</t>
  </si>
  <si>
    <r>
      <t xml:space="preserve">Food is most commonly facilitated by the food, catering or production (crew catering) department. And executed by vendors, caterers and other service parties. 
(a.) When food department is set up for this ask for </t>
    </r>
    <r>
      <rPr>
        <b/>
        <sz val="12"/>
        <color rgb="FF000000"/>
        <rFont val="Calibri"/>
        <family val="2"/>
        <scheme val="minor"/>
      </rPr>
      <t>(1) total amount of sold meals per meal impact category</t>
    </r>
    <r>
      <rPr>
        <sz val="12"/>
        <color rgb="FF000000"/>
        <rFont val="Calibri"/>
        <family val="2"/>
        <scheme val="minor"/>
      </rPr>
      <t xml:space="preserve"> (see suggestions list).
(b.) When not possible ask cashflow department for </t>
    </r>
    <r>
      <rPr>
        <b/>
        <sz val="12"/>
        <color rgb="FF000000"/>
        <rFont val="Calibri"/>
        <family val="2"/>
        <scheme val="minor"/>
      </rPr>
      <t>(1) all sold meals/dishes/snacks per caterer and per specific menu item</t>
    </r>
    <r>
      <rPr>
        <sz val="12"/>
        <color rgb="FF000000"/>
        <rFont val="Calibri"/>
        <family val="2"/>
        <scheme val="minor"/>
      </rPr>
      <t xml:space="preserve"> (from sales data).
Ask food and or catering department for </t>
    </r>
    <r>
      <rPr>
        <b/>
        <sz val="12"/>
        <color rgb="FF000000"/>
        <rFont val="Calibri"/>
        <family val="2"/>
        <scheme val="minor"/>
      </rPr>
      <t>(2) all meals/dishes/snacks both front and backstage + descriptions of what is in them (menu)</t>
    </r>
    <r>
      <rPr>
        <sz val="12"/>
        <color rgb="FF000000"/>
        <rFont val="Calibri"/>
        <family val="2"/>
        <scheme val="minor"/>
      </rPr>
      <t xml:space="preserve">. Then categories all meals/dishes/snacks into 'super high', high', 'medium', 'low', ultra low' using the menu information and multiplying it with the sales and crew/artis catering data.
</t>
    </r>
  </si>
  <si>
    <r>
      <t xml:space="preserve">Suggestion for food data questions </t>
    </r>
    <r>
      <rPr>
        <b/>
        <sz val="12"/>
        <color theme="1"/>
        <rFont val="Calibri"/>
        <family val="2"/>
        <scheme val="minor"/>
      </rPr>
      <t>Option 2</t>
    </r>
    <r>
      <rPr>
        <sz val="12"/>
        <color theme="1"/>
        <rFont val="Calibri"/>
        <family val="2"/>
        <scheme val="minor"/>
      </rPr>
      <t xml:space="preserve"> list for caterers and vendors:
For exact emission figures per category see the 'what to fill in...' section for every category.
(a.) How many Super High impact meals did you sell/give-out?
(b.) How many High impact meals did you sell/give-out?
(c.) How many Medium impact meals did you sell/give-out?
(d.) How many Low impact meals did you sell/give-out?
(e.) How many ultra Low High impact meals did you sell/give-out?
(f.) What percentage of the meals you served were organic certified?  …%  
</t>
    </r>
    <r>
      <rPr>
        <i/>
        <sz val="12"/>
        <color theme="1"/>
        <rFont val="Calibri"/>
        <family val="2"/>
        <scheme val="minor"/>
      </rPr>
      <t>( &gt; 90% of the ingredients of a meal should be organic to be counted here)</t>
    </r>
    <r>
      <rPr>
        <sz val="12"/>
        <color theme="1"/>
        <rFont val="Calibri"/>
        <family val="2"/>
        <scheme val="minor"/>
      </rPr>
      <t xml:space="preserve">
(g.) What percentage of the meals you served were regenerative produce? … % 
</t>
    </r>
    <r>
      <rPr>
        <i/>
        <sz val="12"/>
        <color theme="1"/>
        <rFont val="Calibri"/>
        <family val="2"/>
        <scheme val="minor"/>
      </rPr>
      <t>( &gt; 90% of the ingredients of a meal should be regenerative to be counted here)</t>
    </r>
    <r>
      <rPr>
        <sz val="12"/>
        <color theme="1"/>
        <rFont val="Calibri"/>
        <family val="2"/>
        <scheme val="minor"/>
      </rPr>
      <t xml:space="preserve">
(h.) What percentage of the meals you served were local grown (within 200km)? … %
</t>
    </r>
    <r>
      <rPr>
        <i/>
        <sz val="12"/>
        <color theme="1"/>
        <rFont val="Calibri"/>
        <family val="2"/>
        <scheme val="minor"/>
      </rPr>
      <t>( &gt; 90% of the ingredients of a meal should be local to be counted here)</t>
    </r>
  </si>
  <si>
    <t>Fill in all meals that have a SUPER HIGH impact; average 4 kg CO2e per meal of average 200gr. Example: beef-herd cow, lamb, mutton as main component of the dish.</t>
  </si>
  <si>
    <t>(all 'super high impact meals' on menus) * (respective sales or servings)</t>
  </si>
  <si>
    <t>See line 302: Food</t>
  </si>
  <si>
    <t>(all 'high impact meals' on menus) * (respective sales or servings)</t>
  </si>
  <si>
    <t>Medium impact meals (average: .6 kg CO2 per meal)</t>
  </si>
  <si>
    <t>(all 'medium impact meals' on menus) * (respective sales or servings)</t>
  </si>
  <si>
    <t>Low impact meals (average: .34 kg CO2 per meal)</t>
  </si>
  <si>
    <t>Fill in all meals that have a LOW impact; average 0.34 kg CO2e per meal of average 200gr. Example: wheat, rey, groundnuts, tomatoes, milk as main component and (almost) no animal products.</t>
  </si>
  <si>
    <t>(all 'low impact meals' on menus) * (respective sales or servings)</t>
  </si>
  <si>
    <t>Ultra low impact meals (average: .16 kg CO2 per meal)</t>
  </si>
  <si>
    <t>(all 'ultra low impact meals' on menus) * (respective sales or servings)</t>
  </si>
  <si>
    <r>
      <t xml:space="preserve">Drinks are commonly facilitated and executed by the Food and Drinks department (but the sales are registered by cash flow) or a service party. Many drinks are sold in different sizes, so the amounts will have to be converted to liters. Ask for </t>
    </r>
    <r>
      <rPr>
        <b/>
        <sz val="12"/>
        <color rgb="FF000000"/>
        <rFont val="Calibri"/>
        <family val="2"/>
        <scheme val="minor"/>
      </rPr>
      <t>(1) total amount of liters used, specified for all different drinks categories including the regular, low and climate neutral version of every drink (see suggestions list), 2) percentage of served drinks being locally and/or organically an/or regeneratively produced.</t>
    </r>
  </si>
  <si>
    <t>If not already in use develop and implement a query on the drinks sales data portal in order to easily split out the raw sales data into the specified drinks categories. 
It might be necessary to build a calculation sheet to transform the raw sales data, in combination with the sizes of each sold drink, into usable liters data.</t>
  </si>
  <si>
    <t>Suggestion for questionnaire for Food &amp; Drinks department or service party / caterer:
For exact emission figures per category see the 'what to fill in...' section for every category.
(a.) How many liters of Regular Beer?  Low emission Beer? Climate neutral Beer?
(b.) How many liters of Craft beer? Low emission Craft Beer? Climate neutral Craft Beer?
(c.)  How many liters of Regular Coffee? Low emission Coffee ? Climate neutral Coffee?
(d.) How many liters of Regular Bottled Water?  Low emission Bottled Water? Climate neutral Bottle Water?
(e.) How many liters of Regular Soda from Can/Bottle? Low emission Soda from Can/Bottles? Climate neutral Soda from Can/Bottle?
(f.) How many liters of Regular Fruit juice? Low emission Fruit Juice? Climate neutral fruit juice?
(g.) How many liters of Regular Wine? Low emission Wine? Climate neutral Wine?
(h.) How many liters of Regular Dairy based drinks? Low emission Dairy based drinks? Climate neutral Dairy based drinks?
(i.) How many liters of Regular Mixed drinks? Low emission Mixed drinks? Climate neutral Mixed drinks?
j.) How many liters of Regular Spirits? Low emission Spirits? Climate neutral Spirits?
(k.) How many liters of Tea?  …. 
(l.) How many liters of Tap water?  …. 
(m.) How many liters of Soda and Lemonades from tap water?
(n.) What percentage of the drinks that you served were organic certified? … % 
(o.) What percentage of the drinks that you served were produced in a regenerative way? … % 
(p.) What percentage of the drinks that you served were locally produced (within 200km)?  … %</t>
  </si>
  <si>
    <t>(liters of organic drinks / total liters of all drinks)*100</t>
  </si>
  <si>
    <t>See line 308: Drinks</t>
  </si>
  <si>
    <t>((liters of regenerative produced drinks) / total liters of all drinks)*100</t>
  </si>
  <si>
    <t>(liters of local produced drinks / total liters of all drinks)*100</t>
  </si>
  <si>
    <t>add all Regular liters of Beer</t>
  </si>
  <si>
    <t>Low emission draft beer (between  and .32 kg CO2 per litre)</t>
  </si>
  <si>
    <t>add all low emission liters of Beer</t>
  </si>
  <si>
    <t>Zero emission draft beer (net  kg CO2 per liter)</t>
  </si>
  <si>
    <t>add all Climate neutral liters of Beer</t>
  </si>
  <si>
    <t>add all Regular liters of Craft Beer</t>
  </si>
  <si>
    <t>Low emission craft beer (between  and .32 kg CO2 per litre)</t>
  </si>
  <si>
    <t>add all low emission liters of Craft Beer</t>
  </si>
  <si>
    <t>Zero emission craft beer (net  kg CO2 per litre)</t>
  </si>
  <si>
    <t>add all Climate neutral liters of Craft Beer</t>
  </si>
  <si>
    <t>Fill in all REGULAR IMPACT COFFEE (use this when most coffee variations are served with COW'S MILK) that has been consumed at the festival. (including; visitor, artist and crew catering)</t>
  </si>
  <si>
    <t>add all Regular liters of Coffee</t>
  </si>
  <si>
    <t>Fill in all LOW IMPACT COFFEE (use this when most coffee variations are served with PLANT-BASED MILK) that has been consumed at the festival (including; visitor, artist and crew catering).</t>
  </si>
  <si>
    <t>add all low emission liters of Coffee</t>
  </si>
  <si>
    <t>add all Climate neutral liters of Coffee</t>
  </si>
  <si>
    <t>add all Regular liters of Bottled Water</t>
  </si>
  <si>
    <t>Low emission bottled water (between  and .16 kg CO2 per litre)</t>
  </si>
  <si>
    <t>add all low emission liters of Bottled Water</t>
  </si>
  <si>
    <t>Zero emission bottled water (net  kg CO2 per litre)</t>
  </si>
  <si>
    <t>add all Climate neutral liters of Bottled Water</t>
  </si>
  <si>
    <t>add all Regular liters of Soda from Can/Bottle</t>
  </si>
  <si>
    <t>Low emission soda / soft drinks from bottle / can (between  and .19 kg CO2 per litre)</t>
  </si>
  <si>
    <t>add all low emission liters of Soda from Can/Bottle</t>
  </si>
  <si>
    <t>Zero emission soda / soft drinks from bottle / can (net  kg CO2 per litre)</t>
  </si>
  <si>
    <t>add all Climate neutral liters of Soda from Can/Bottle</t>
  </si>
  <si>
    <t>add all Regular liters of Fruit Juice</t>
  </si>
  <si>
    <t>Low emission fruit juice (between  and 1.2 kg CO2 per litre)</t>
  </si>
  <si>
    <t>add all low emission liters of Fruit Juice</t>
  </si>
  <si>
    <t>Zero emission fruit juice (net  kg CO2 per litre)</t>
  </si>
  <si>
    <t>add all Climate neutral liters of Fruit Juice</t>
  </si>
  <si>
    <t>add all Regular liters of Wine</t>
  </si>
  <si>
    <t>Low emission wine (between  and 1.41 kg CO2 per litre)</t>
  </si>
  <si>
    <t>add all low emission liters of Wine</t>
  </si>
  <si>
    <t>Zero emission wine (net  kg CO2 per litre)</t>
  </si>
  <si>
    <t>add all Climate neutral liters of Wine</t>
  </si>
  <si>
    <t>add all Regular liters of dairy-based drinks</t>
  </si>
  <si>
    <t>add all low emission liters of dairy-based drinks</t>
  </si>
  <si>
    <t>add all Climate neutral liters of dairy-based drinks</t>
  </si>
  <si>
    <t>add all Regular liters of Mixed Drinks</t>
  </si>
  <si>
    <t>Low emission mixed drinks (between  and .52 kg CO2 per litre)</t>
  </si>
  <si>
    <t>add all low emission liters of Mixed Drinks</t>
  </si>
  <si>
    <t>Zero emission mixed drinks (net  kg CO2 per litre)</t>
  </si>
  <si>
    <t>add all Climate neutral liters of Mixed Drinks</t>
  </si>
  <si>
    <t>add all Regular liters of Spirits</t>
  </si>
  <si>
    <t>add all low emission liters of Spirits</t>
  </si>
  <si>
    <t>add all Climate neutral liters of Spirits</t>
  </si>
  <si>
    <t>add all liters of Tea</t>
  </si>
  <si>
    <t>add all liters of Tap Water used as drinking water</t>
  </si>
  <si>
    <t>add all liters of Soda and Lemonade made with tap water</t>
  </si>
  <si>
    <t>visitors staying at festival camping * number of nights</t>
  </si>
  <si>
    <r>
      <t xml:space="preserve">Festival camping spots are often part of the ticket sales procedure, or a service party sells them separately. Ask for </t>
    </r>
    <r>
      <rPr>
        <b/>
        <sz val="12"/>
        <color theme="1"/>
        <rFont val="Calibri"/>
        <family val="2"/>
        <scheme val="minor"/>
      </rPr>
      <t>(1) total number of visitors staying at the festival camping</t>
    </r>
    <r>
      <rPr>
        <sz val="12"/>
        <color theme="1"/>
        <rFont val="Calibri"/>
        <family val="2"/>
        <scheme val="minor"/>
      </rPr>
      <t>.</t>
    </r>
  </si>
  <si>
    <t xml:space="preserve">Suggestion for questions for 'Overnight Stay' questionnaire:
What kind of overnight accommodation did you use? 
1. Campsites, a. festival, b. external (regular), c. external LOW emission (0-1 kg CO2e p/night p/person) d. external CLIMATE NEUTRAL 
2. Hotels, Holiday houses, apartments, other; 
a. Hotel, Holiday house, Apartment, other (normal), b. Hotel, Holiday house, Apartment, other LOW emission (0-5 kg CO2e p/night p/person), c. Hotel, Holiday house, Apartment, Other CLIMATE NEUTRAL. 
</t>
  </si>
  <si>
    <t>Total amount of visitors + artists + crew + volunteers + suppliers staying at external camping (regular) * number of nights (they are staying)</t>
  </si>
  <si>
    <r>
      <t xml:space="preserve">External camping spots are often done by external parties who might or might not be related to the festival. If external party is willing to share data ask for </t>
    </r>
    <r>
      <rPr>
        <b/>
        <sz val="12"/>
        <color theme="1"/>
        <rFont val="Calibri"/>
        <family val="2"/>
        <scheme val="minor"/>
      </rPr>
      <t>(1) total number of visitors (2)total number of artists (3) total number of crew (4) total number of volunteers (5) total number of suppliers staying at regular camping</t>
    </r>
    <r>
      <rPr>
        <sz val="12"/>
        <color theme="1"/>
        <rFont val="Calibri"/>
        <family val="2"/>
        <scheme val="minor"/>
      </rPr>
      <t>.</t>
    </r>
  </si>
  <si>
    <r>
      <t xml:space="preserve">if external parties won't share data include question about </t>
    </r>
    <r>
      <rPr>
        <b/>
        <sz val="12"/>
        <color theme="1"/>
        <rFont val="Calibri"/>
        <family val="2"/>
        <scheme val="minor"/>
      </rPr>
      <t>(1) overnight stay in visitors survey</t>
    </r>
    <r>
      <rPr>
        <sz val="12"/>
        <color theme="1"/>
        <rFont val="Calibri"/>
        <family val="2"/>
        <scheme val="minor"/>
      </rPr>
      <t xml:space="preserve"> (see survey suggestion)</t>
    </r>
    <r>
      <rPr>
        <b/>
        <sz val="12"/>
        <color theme="1"/>
        <rFont val="Calibri"/>
        <family val="2"/>
        <scheme val="minor"/>
      </rPr>
      <t>.</t>
    </r>
  </si>
  <si>
    <t>see line 360: suggestion for public survey questions</t>
  </si>
  <si>
    <t>Overnight stays, at external LOW EMISSION campsites (between  and 1 kg CO2 per guest per night)</t>
  </si>
  <si>
    <t>Total amount of visitors + artists + crew + volunteers + suppliers staying at external camping (low emission) * number of nights</t>
  </si>
  <si>
    <r>
      <t>External camping spots are often done by external parties who might or might not be related to the festival. If external party is willing to share data ask for (</t>
    </r>
    <r>
      <rPr>
        <b/>
        <sz val="12"/>
        <color theme="1"/>
        <rFont val="Calibri"/>
        <family val="2"/>
        <scheme val="minor"/>
      </rPr>
      <t>1) total number of visitors (2)total number of artists (3) total number of crew (4) total number of volunteers (5) total number of suppliers staying</t>
    </r>
    <r>
      <rPr>
        <sz val="12"/>
        <color theme="1"/>
        <rFont val="Calibri"/>
        <family val="2"/>
        <scheme val="minor"/>
      </rPr>
      <t xml:space="preserve"> </t>
    </r>
    <r>
      <rPr>
        <b/>
        <sz val="12"/>
        <color theme="1"/>
        <rFont val="Calibri"/>
        <family val="2"/>
        <scheme val="minor"/>
      </rPr>
      <t>at a low emission camping</t>
    </r>
    <r>
      <rPr>
        <sz val="12"/>
        <color theme="1"/>
        <rFont val="Calibri"/>
        <family val="2"/>
        <scheme val="minor"/>
      </rPr>
      <t>.</t>
    </r>
  </si>
  <si>
    <r>
      <t xml:space="preserve">if external parties won't share data include question about </t>
    </r>
    <r>
      <rPr>
        <b/>
        <sz val="12"/>
        <color theme="1"/>
        <rFont val="Calibri"/>
        <family val="2"/>
        <scheme val="minor"/>
      </rPr>
      <t xml:space="preserve">(1) overnight stay in visitors survey </t>
    </r>
    <r>
      <rPr>
        <sz val="12"/>
        <color theme="1"/>
        <rFont val="Calibri"/>
        <family val="2"/>
        <scheme val="minor"/>
      </rPr>
      <t>(see survey suggestion).</t>
    </r>
  </si>
  <si>
    <t>Overnight stays, at external CLIMATE NEUTRAL campsites (net  kg CO2 per guest per night)</t>
  </si>
  <si>
    <t>Total amount of visitors + artists + crew + volunteers + suppliers staying at external camping (climate neutrale) * number of nights</t>
  </si>
  <si>
    <r>
      <t xml:space="preserve">External camping spots are often done by external parties who might or might not be related to the festival. If external party is willing to share data ask for </t>
    </r>
    <r>
      <rPr>
        <b/>
        <sz val="12"/>
        <color theme="1"/>
        <rFont val="Calibri"/>
        <family val="2"/>
        <scheme val="minor"/>
      </rPr>
      <t>((1) total number of visitors (2)total number of artists (3) total number of crew (4) total number of volunteers (5) total number of suppliers staying at a climate neutral camping</t>
    </r>
    <r>
      <rPr>
        <sz val="12"/>
        <color theme="1"/>
        <rFont val="Calibri"/>
        <family val="2"/>
        <scheme val="minor"/>
      </rPr>
      <t>.</t>
    </r>
  </si>
  <si>
    <r>
      <t xml:space="preserve">if external parties won't share data include question about </t>
    </r>
    <r>
      <rPr>
        <b/>
        <sz val="12"/>
        <color theme="1"/>
        <rFont val="Calibri"/>
        <family val="2"/>
        <scheme val="minor"/>
      </rPr>
      <t>(1) overnight stay in visitors survey (</t>
    </r>
    <r>
      <rPr>
        <sz val="12"/>
        <color theme="1"/>
        <rFont val="Calibri"/>
        <family val="2"/>
        <scheme val="minor"/>
      </rPr>
      <t>see survey suggestion).</t>
    </r>
  </si>
  <si>
    <t>Total amount of visitors + artists + crew + volunteers + suppliers staying at external Hotel + Holiday Houses + Apartments + other (regular) * number of nights</t>
  </si>
  <si>
    <r>
      <t xml:space="preserve">External Hotel + Holiday Houses + Apartments + other (regular) are often facilitated by external parties who might or might not be related to the festival. If external party is willing to share data ask for </t>
    </r>
    <r>
      <rPr>
        <b/>
        <sz val="12"/>
        <color rgb="FF000000"/>
        <rFont val="Calibri"/>
        <family val="2"/>
        <scheme val="minor"/>
      </rPr>
      <t>(1) total number of visitors (2)total number of artists (3) total number of crew (4) total number of volunteers (5) total number of suppliers staying at the hotel</t>
    </r>
    <r>
      <rPr>
        <sz val="12"/>
        <color rgb="FF000000"/>
        <rFont val="Calibri"/>
        <family val="2"/>
        <scheme val="minor"/>
      </rPr>
      <t>.</t>
    </r>
  </si>
  <si>
    <r>
      <t xml:space="preserve">if external parties won't share data include question about </t>
    </r>
    <r>
      <rPr>
        <b/>
        <sz val="12"/>
        <color theme="1"/>
        <rFont val="Calibri"/>
        <family val="2"/>
        <scheme val="minor"/>
      </rPr>
      <t>(1) overnight stay in visitors survey (s</t>
    </r>
    <r>
      <rPr>
        <sz val="12"/>
        <color theme="1"/>
        <rFont val="Calibri"/>
        <family val="2"/>
        <scheme val="minor"/>
      </rPr>
      <t>ee survey suggestion).</t>
    </r>
  </si>
  <si>
    <t>Overnight stays, LOW EMISSION hotels, holiday houses or apartments (between  and 5 kg CO2 per guest per night)</t>
  </si>
  <si>
    <t>Total amount of visitors + artists + crew + volunteers + suppliers staying at external Hotel + Holiday Houses + Apartments + other (low emission) * number of nights</t>
  </si>
  <si>
    <r>
      <t>External Hotel + Holiday Houses + Apartments + other (low emission) are often facilitated by external parties who might or might not be related to the festival. If external party is willing to share data ask for (</t>
    </r>
    <r>
      <rPr>
        <b/>
        <sz val="12"/>
        <color rgb="FF000000"/>
        <rFont val="Calibri"/>
        <family val="2"/>
        <scheme val="minor"/>
      </rPr>
      <t>1) total number of visitors (2)total number of artists (3) total number of crew (4) total number of volunteers (5) total number of suppliers staying at the low emission hotel, etc.</t>
    </r>
  </si>
  <si>
    <r>
      <t xml:space="preserve">if external parties won't share data include question about </t>
    </r>
    <r>
      <rPr>
        <b/>
        <sz val="12"/>
        <color theme="1"/>
        <rFont val="Calibri"/>
        <family val="2"/>
        <scheme val="minor"/>
      </rPr>
      <t>(1) overnight stay in visitors survey (se</t>
    </r>
    <r>
      <rPr>
        <sz val="12"/>
        <color theme="1"/>
        <rFont val="Calibri"/>
        <family val="2"/>
        <scheme val="minor"/>
      </rPr>
      <t>e survey suggestion).</t>
    </r>
  </si>
  <si>
    <t>Overnight stays, CLIMATE NEUTRAL hotels, holiday houses or apartments (net  kg CO2 per guest per night)</t>
  </si>
  <si>
    <t>Total amount of visitors + artists + crew + volunteers + suppliers staying at external Hotel + Holiday Houses + Apartments + other (Climate neutral) * number of nights</t>
  </si>
  <si>
    <r>
      <t xml:space="preserve">External Hotel + Holiday Houses + Apartments + other (climate neutral) are often facilitated by external parties who might or might not be related to the festival. If external party is willing to share data ask for </t>
    </r>
    <r>
      <rPr>
        <b/>
        <sz val="12"/>
        <color rgb="FF000000"/>
        <rFont val="Calibri"/>
        <family val="2"/>
        <scheme val="minor"/>
      </rPr>
      <t>(1) total number of visitors (2)total number of artists (3) total number of crew (4) total number of volunteers (5) total number of suppliers staying at the climate neutral hotel, etc.</t>
    </r>
  </si>
  <si>
    <r>
      <t xml:space="preserve">if external parties won't share data include question about </t>
    </r>
    <r>
      <rPr>
        <b/>
        <sz val="12"/>
        <color theme="1"/>
        <rFont val="Calibri"/>
        <family val="2"/>
        <scheme val="minor"/>
      </rPr>
      <t>(1) overnight stay in visitors survey (see</t>
    </r>
    <r>
      <rPr>
        <sz val="12"/>
        <color theme="1"/>
        <rFont val="Calibri"/>
        <family val="2"/>
        <scheme val="minor"/>
      </rPr>
      <t xml:space="preserve"> survey suggestion).</t>
    </r>
  </si>
  <si>
    <t>DIGITAL FOOTPRINT (New section fill in when relevant)</t>
  </si>
  <si>
    <t>CO2e emissions due to VIEWS OF MAIN FESTIVAL WEBSITE(s)</t>
  </si>
  <si>
    <t>Fill in the amount of CO2e emissions in grams per view of the main festival website. You can find the amount of CO2e emissions per page view here: https://www.websitecarbon.com</t>
  </si>
  <si>
    <t>average CO2e emission in grams per page view</t>
  </si>
  <si>
    <t>The average amount of CO2e emissions in grams per page view of the webiste can be determined by filling in the relevant URL's of the Website(s) at: https://www.websitecarbon.com</t>
  </si>
  <si>
    <t>Prepare relevant parties in advance for this data request</t>
  </si>
  <si>
    <t>total amount of website views</t>
  </si>
  <si>
    <r>
      <t>The website is mostly managed by the PR / MarCom department or an external party that facilitates this. Ask the appropriate department for:</t>
    </r>
    <r>
      <rPr>
        <b/>
        <sz val="12"/>
        <color rgb="FF000000"/>
        <rFont val="Calibri"/>
        <family val="2"/>
        <scheme val="minor"/>
      </rPr>
      <t xml:space="preserve"> total number of website(s) views for this festival only </t>
    </r>
    <r>
      <rPr>
        <sz val="12"/>
        <color rgb="FF000000"/>
        <rFont val="Calibri"/>
        <family val="2"/>
        <scheme val="minor"/>
      </rPr>
      <t>(during the period from 11 months befor until 1 month after the festival).</t>
    </r>
  </si>
  <si>
    <t>Number of EMAILS send</t>
  </si>
  <si>
    <t>total amount of emails send</t>
  </si>
  <si>
    <r>
      <t xml:space="preserve">Festival servers are mostly managed by the IT department or an external party that facilitates this. Ask this party for </t>
    </r>
    <r>
      <rPr>
        <b/>
        <sz val="12"/>
        <color rgb="FF000000"/>
        <rFont val="Calibri"/>
        <family val="2"/>
        <scheme val="minor"/>
      </rPr>
      <t>(1) total amount of emails send from the festival server for this festival edition only.</t>
    </r>
  </si>
  <si>
    <t>total amount of app sessions</t>
  </si>
  <si>
    <r>
      <t xml:space="preserve">The festival app(s) are mostly managed by the PR/MarCom/IT department or an external party that facilitates this. Ask this party for </t>
    </r>
    <r>
      <rPr>
        <b/>
        <sz val="12"/>
        <color rgb="FF000000"/>
        <rFont val="Calibri"/>
        <family val="2"/>
        <scheme val="minor"/>
      </rPr>
      <t>(1) total amount of app sessions for this festival edition only.</t>
    </r>
  </si>
  <si>
    <t>total amount of social media views</t>
  </si>
  <si>
    <r>
      <t xml:space="preserve">The festival socials are mostly managed by the PR/MarCom department or an external party that facilitates this. Ask this party for </t>
    </r>
    <r>
      <rPr>
        <b/>
        <sz val="12"/>
        <color rgb="FF000000"/>
        <rFont val="Calibri"/>
        <family val="2"/>
        <scheme val="minor"/>
      </rPr>
      <t>(1) total amount of social views for this festival edition only.</t>
    </r>
  </si>
  <si>
    <t>total amount of GB of stored data</t>
  </si>
  <si>
    <r>
      <t xml:space="preserve">Festival servers are mostly managed by the IT department or an external party that facilitates this. Ask this party for </t>
    </r>
    <r>
      <rPr>
        <b/>
        <sz val="12"/>
        <color rgb="FF000000"/>
        <rFont val="Calibri"/>
        <family val="2"/>
        <scheme val="minor"/>
      </rPr>
      <t>(1) total amount of GB stored for this festival edition only.</t>
    </r>
  </si>
  <si>
    <t>All tonnes of GHG emissions that have been successfully removed using short term (fast implementation), durable (stable and long term carbon sink) and verified carbon removal programs</t>
  </si>
  <si>
    <t>add all tonnes of balanced (off set) CO2e</t>
  </si>
  <si>
    <r>
      <t xml:space="preserve">Balancing or off setting of CO2e will mostly be overseen by the sustainability department (which is probably you ;-). The actual balancing will commonly be done by a service party which will/should put the balanced (removed) tonnes of CO2e on the invoice. Ask for </t>
    </r>
    <r>
      <rPr>
        <b/>
        <sz val="12"/>
        <color theme="1"/>
        <rFont val="Calibri"/>
        <family val="2"/>
        <scheme val="minor"/>
      </rPr>
      <t>(1) total amount of removed CO2e in tonnes.</t>
    </r>
  </si>
  <si>
    <t>Data entered</t>
  </si>
  <si>
    <t>unit</t>
  </si>
  <si>
    <t xml:space="preserve"> </t>
  </si>
  <si>
    <t/>
  </si>
  <si>
    <t>Internal transport - Renewable electricity</t>
  </si>
  <si>
    <t>Internal transport - Non-renewable electricity</t>
  </si>
  <si>
    <t>Internal transport - Sustainable biofuel (HVO-UCO/Tall B100)</t>
  </si>
  <si>
    <t>Internal transport - Fossil diesel</t>
  </si>
  <si>
    <t>Internal transport - Fossil gasoline</t>
  </si>
  <si>
    <t>Internal transport - Biogas</t>
  </si>
  <si>
    <t>Internal transport - Fossil natural gas</t>
  </si>
  <si>
    <t>Internal transport - Green hydrogen</t>
  </si>
  <si>
    <t>Internal transport - Grey hydrogen</t>
  </si>
  <si>
    <t>Supplier transportation - Renewable electricity</t>
  </si>
  <si>
    <t>Supplier transportation - Non-renewable electricity</t>
  </si>
  <si>
    <t>Supplier transportation - Sustainable biofuel (HVO-UCO/Tall B100)</t>
  </si>
  <si>
    <t>Supplier transportation - Fossil diesel</t>
  </si>
  <si>
    <t>Supplier transportation - Fossil gasoline</t>
  </si>
  <si>
    <t>Supplier transportation - Biogas</t>
  </si>
  <si>
    <t>Supplier transportation - Fossil natural gas</t>
  </si>
  <si>
    <t>Supplier transportation - Green hydrogen</t>
  </si>
  <si>
    <t>Supplier transportation - Grey hydrogen</t>
  </si>
  <si>
    <t>Category</t>
  </si>
  <si>
    <t>Unit</t>
  </si>
  <si>
    <t>Source</t>
  </si>
  <si>
    <t>Data utilisation</t>
  </si>
  <si>
    <t>Days</t>
  </si>
  <si>
    <t>Country</t>
  </si>
  <si>
    <t>Number of people</t>
  </si>
  <si>
    <t>Number of visitor-days</t>
  </si>
  <si>
    <t>Average number of visitors</t>
  </si>
  <si>
    <t>Number of items</t>
  </si>
  <si>
    <t>Percentage</t>
  </si>
  <si>
    <t>Reusable cups missing</t>
  </si>
  <si>
    <t>Reusable tableware missing</t>
  </si>
  <si>
    <t>Reusable cutlery missing</t>
  </si>
  <si>
    <t>Reusable cups reused</t>
  </si>
  <si>
    <t>Reusable tableware reused</t>
  </si>
  <si>
    <t>Reusable cutlery reused</t>
  </si>
  <si>
    <t>Residual Waste inputs</t>
  </si>
  <si>
    <t>Single-use cups</t>
  </si>
  <si>
    <t>Total</t>
  </si>
  <si>
    <t>Single-use cups recycled</t>
  </si>
  <si>
    <t>Single-use cups in residual waste</t>
  </si>
  <si>
    <t>Single-use tableware</t>
  </si>
  <si>
    <t>Single-use tableware recycled</t>
  </si>
  <si>
    <t>Single-use tableware in residual waste</t>
  </si>
  <si>
    <t>Single-use cutlery</t>
  </si>
  <si>
    <t>Single-use cutlery recycled</t>
  </si>
  <si>
    <t>Single-use cutlery in residual waste</t>
  </si>
  <si>
    <t>Residual waste after post separation</t>
  </si>
  <si>
    <t xml:space="preserve">Incineration with energy recovery </t>
  </si>
  <si>
    <t>PMD from post-separation</t>
  </si>
  <si>
    <t>PMD - total</t>
  </si>
  <si>
    <t>PMD - plastic fraction</t>
  </si>
  <si>
    <t>PMD - metals fraction</t>
  </si>
  <si>
    <t>Percentage of mod</t>
  </si>
  <si>
    <t xml:space="preserve">VISITORS on FOOT or BICYCLE </t>
  </si>
  <si>
    <t>VISITORS by METRO or TRAM</t>
  </si>
  <si>
    <t>VISITORS by LOCAL BUS on FOSSIL FUEL</t>
  </si>
  <si>
    <t>VISITORS by LOCAL BUS ELECTRIC or on BIOFUEL</t>
  </si>
  <si>
    <t>VISITORS by CAR or TAXI on FOSSIL FUEL</t>
  </si>
  <si>
    <t>VISITORS by ELECTRIC OR BIOFUEL CAR or TAXI</t>
  </si>
  <si>
    <t>VISITORS by (festival) COACH on FOSSIL FUEL</t>
  </si>
  <si>
    <t>VISITORS by (festival) COACH ELECTRIC or BIOFUEL</t>
  </si>
  <si>
    <t>VISITORS by TRAIN</t>
  </si>
  <si>
    <t>VISITORS by AIRPLANE</t>
  </si>
  <si>
    <t>VISITORS by SHIP/FERRY</t>
  </si>
  <si>
    <t>VISITORS by SAILING, ELECTRIC or BIOFUEL SHIP/FERRY</t>
  </si>
  <si>
    <t>VISITORS by SHUTTLE on FOSSIL FUEL</t>
  </si>
  <si>
    <t>VISITORS by SHUTTLE ELECTRIC or BIOFUEL</t>
  </si>
  <si>
    <t>Distance</t>
  </si>
  <si>
    <t>Average distance VISITORS by SAILING, ELECTRIC or BIOFUEL SHIP/FERRY</t>
  </si>
  <si>
    <t>Average distance VISITORS by SHUTTLE ELECTRIC or BIOFUEL</t>
  </si>
  <si>
    <t>Total distance VISITORS on FOOT or BICYCLE</t>
  </si>
  <si>
    <t>Traveller-km</t>
  </si>
  <si>
    <t>Total distance VISITORS by METRO or TRAM</t>
  </si>
  <si>
    <t>Total distance VISITORS by LOCAL BUS ON FOSSIl FUEL</t>
  </si>
  <si>
    <t>Total distance VISITORS by LOCAL BUS ELECTRIC or BIOFUEL</t>
  </si>
  <si>
    <t>Total distance VISITORS by CAR or TAXI on FOSSIL FUEL</t>
  </si>
  <si>
    <t>Total distance VISITORS by ELECTRIC OR BIOFUEL CAR or TAXI</t>
  </si>
  <si>
    <t>Total distance VISITORS by (festival) COACH on FOSSIL FUEL</t>
  </si>
  <si>
    <t>Total distance VISITORS by (festival) COACH ELCTRIC of BIOFUEL</t>
  </si>
  <si>
    <t>Total distance VISITORS by TRAIN</t>
  </si>
  <si>
    <t>Total distance VISITORS by AIRPLANE</t>
  </si>
  <si>
    <t>Total distance VISITORS by SHIP/FERRY</t>
  </si>
  <si>
    <t>Total distance VISITORS by SAILING, ELECTRIC or BIOFUEL SHIP/FERRY</t>
  </si>
  <si>
    <t>Total distance VISITORS by SHUTTLE on FOSSIL FUEL</t>
  </si>
  <si>
    <t>Total distance VISITORS by SHUTTLE ELECTRIC or BIOFUEL</t>
  </si>
  <si>
    <t xml:space="preserve">ARTISTS on FOOT or BICYCLE </t>
  </si>
  <si>
    <t>ARTISTS by METRO or TRAM</t>
  </si>
  <si>
    <t>ARTISTS by LOCAL BUS on FOSSIL FUEL</t>
  </si>
  <si>
    <t>ARTISTS by LOCAL BUS ELECTRIC or on BIOFUEL</t>
  </si>
  <si>
    <t>ARTISTS by CAR or TAXI on FOSSIL FUEL</t>
  </si>
  <si>
    <t>ARTISTS by ELECTRIC OR BIOFUEL CAR or TAXI</t>
  </si>
  <si>
    <t>ARTISTS by (festival) COACH on FOSSIL FUEL</t>
  </si>
  <si>
    <t>ARTISTS by (festival) COACH ELECTRIC or BIOFUEL</t>
  </si>
  <si>
    <t>ARTISTS by TRAIN</t>
  </si>
  <si>
    <t>ARTISTS by AIRPLANE</t>
  </si>
  <si>
    <t>ARTISTS by SHIP/FERRY</t>
  </si>
  <si>
    <t>ARTISTS by SAILING, ELECTRIC or BIOFUEL SHIP/FERRY</t>
  </si>
  <si>
    <t>ARTISTS by SHUTTLE on FOSSIL FUEL</t>
  </si>
  <si>
    <t>ARTISTS by SHUTTLE ELECTRIC or BIOFUEL</t>
  </si>
  <si>
    <t>Average distance ARTISTS by SAILING, ELECTRIC or BIOFUEL SHIP/FERRY</t>
  </si>
  <si>
    <t>Average distance ARTISTS by SHUTTLE ELECTRIC or BIOFUEL</t>
  </si>
  <si>
    <t>Total distance ARTISTS on FOOT or BICYCLE</t>
  </si>
  <si>
    <t>Total distance ARTISTS by METRO or TRAM</t>
  </si>
  <si>
    <t>Total distance ARTISTS by LOCAL BUS ON FOSSIl FUEL</t>
  </si>
  <si>
    <t>Total distance ARTISTS by LOCAL BUS ELECTRIC or BIOFUEL</t>
  </si>
  <si>
    <t>Total distance ARTISTS by CAR or TAXI on FOSSIL FUEL</t>
  </si>
  <si>
    <t>Total distance ARTISTS by ELECTRIC OR BIOFUEL CAR or TAXI</t>
  </si>
  <si>
    <t>Total distance ARTISTS by (festival) COACH on FOSSIL FUEL</t>
  </si>
  <si>
    <t>Total distance ARTISTS by (festival) COACH ELCTRIC of BIOFUEL</t>
  </si>
  <si>
    <t>Total distance ARTISTS by TRAIN</t>
  </si>
  <si>
    <t>Total distance ARTISTS by AIRPLANE</t>
  </si>
  <si>
    <t>Total distance ARTISTS by SHIP/FERRY</t>
  </si>
  <si>
    <t>Total distance ARTISTS by SAILING, ELECTRIC or BIOFUEL SHIP/FERRY</t>
  </si>
  <si>
    <t>Total distance ARTISTS by SHUTTLE on FOSSIL FUEL</t>
  </si>
  <si>
    <t>Total distance ARTISTS by SHUTTLE ELECTRIC or BIOFUEL</t>
  </si>
  <si>
    <t xml:space="preserve">Percentage of CREW, VOLUNTEERS AND SUPPLIERS on FOOT or BICYCLE </t>
  </si>
  <si>
    <t>Percentage of CREW, VOLUNTEERS AND SUPPLIERS by METRO or TRAM</t>
  </si>
  <si>
    <t>Percentage of CREW, VOLUNTEERS AND SUPPLIERS by LOCAL BUS on FOSSIL FUEL</t>
  </si>
  <si>
    <t>Percentage of CREW, VOLUNTEERS AND SUPPLIERS by LOCAL BUS ELECTRIC or on BIOFUEL</t>
  </si>
  <si>
    <t>Percentage of CREW, VOLUNTEERS AND SUPPLIERS by CAR or TAXI on FOSSIL FUEL</t>
  </si>
  <si>
    <t xml:space="preserve">Percentage CREW, VOLUNTEERS AND SUPPLIERS by ELECTRIC OR BIOFUEL CAR or TAXI </t>
  </si>
  <si>
    <t>Percentage CREW, VOLUNTEERS AND SUPPLIERS by (festival) COACH on FOSSIL FUEL</t>
  </si>
  <si>
    <t>Percentage of CREW, VOLUNTEERS AND SUPPLIERS by (festival) COACH ELECTRIC or BIOFUEL</t>
  </si>
  <si>
    <t>Percentage CREW, VOLUNTEERS AND SUPPLIERS by TRAIN</t>
  </si>
  <si>
    <t>Percentage of CREW, VOLUNTEERS AND SUPPLIERS by AIRPLANE</t>
  </si>
  <si>
    <t>Percentage CREW, VOLUNTEERS AND SUPPLIERS by SAILING, ELECTRIC or BIOFUEL SHIP/FERRY</t>
  </si>
  <si>
    <t xml:space="preserve">CREW, VOLUNTEERS and SUPPLIERS on FOOT or BICYCLE </t>
  </si>
  <si>
    <t>CREW, VOLUNTEERS and SUPPLIERS by METRO or TRAM</t>
  </si>
  <si>
    <t>CREW, VOLUNTEERS and SUPPLIERS by LOCAL BUS on FOSSIL FUEL</t>
  </si>
  <si>
    <t>CREW, VOLUNTEERS and SUPPLIERS by LOCAL BUS ELECTRIC or on BIOFUEL</t>
  </si>
  <si>
    <t>CREW, VOLUNTEERS and SUPPLIERS by CAR or TAXI on FOSSIL FUEL</t>
  </si>
  <si>
    <t>CREW, VOLUNTEERS and SUPPLIERS by ELECTRIC OR BIOFUEL CAR or TAXI</t>
  </si>
  <si>
    <t>CREW, VOLUNTEERS and SUPPLIERS by (festival) COACH on FOSSIL FUEL</t>
  </si>
  <si>
    <t>CREW, VOLUNTEERS and SUPPLIERS by (festival) COACH ELECTRIC or BIOFUEL</t>
  </si>
  <si>
    <t>CREW, VOLUNTEERS and SUPPLIERS by TRAIN</t>
  </si>
  <si>
    <t>CREW, VOLUNTEERS and SUPPLIERS by AIRPLANE</t>
  </si>
  <si>
    <t>CREW, VOLUNTEERS and SUPPLIERS by SHIP/FERRY</t>
  </si>
  <si>
    <t>CREW, VOLUNTEERS and SUPPLIERS by SAILING, ELECTRIC or BIOFUEL SHIP/FERRY</t>
  </si>
  <si>
    <t>CREW, VOLUNTEERS and SUPPLIERS by SHUTTLE on FOSSIL FUEL</t>
  </si>
  <si>
    <t>CREW, VOLUNTEERS and SUPPLIERS by SHUTTLE ELECTRIC or BIOFUEL</t>
  </si>
  <si>
    <t>Average distance CREW, VOLUNTEERS and SUPPLIERS by SAILING, ELECTRIC or BIOFUEL SHIP/FERRY (one-way)</t>
  </si>
  <si>
    <t>Average distance CREW, VOLUNTEERS and SUPPLIERS by SHUTTLE ELECTRIC or BIOFUEL (one-way)</t>
  </si>
  <si>
    <t>Total distance CREW, VOLUNTEERS and SUPPLIERS on FOOT or BICYCLE</t>
  </si>
  <si>
    <t>Total distance CREW, VOLUNTEERS and SUPPLIERS by METRO or TRAM</t>
  </si>
  <si>
    <t>Total distance CREW, VOLUNTEERS and SUPPLIERS by LOCAL BUS ON FOSSIl FUEL</t>
  </si>
  <si>
    <t>Total distance CREW, VOLUNTEERS and SUPPLIERS by LOCAL BUS ELECTRIC or BIOFUEL</t>
  </si>
  <si>
    <t>Total distance CREW, VOLUNTEERS and SUPPLIERS by CAR or TAXI on FOSSIL FUEL</t>
  </si>
  <si>
    <t>Total distance CREW, VOLUNTEERS and SUPPLIERS by ELECTRIC OR BIOFUEL CAR or TAXI</t>
  </si>
  <si>
    <t>Total distance CREW, VOLUNTEERS and SUPPLIERS by (festival) COACH on FOSSIL FUEL</t>
  </si>
  <si>
    <t>Total distance CREW, VOLUNTEERS and SUPPLIERS by (festival) COACH ELCTRIC of BIOFUEL</t>
  </si>
  <si>
    <t>Total distance CREW, VOLUNTEERS and SUPPLIERS by TRAIN</t>
  </si>
  <si>
    <t>Total distance CREW, VOLUNTEERS and SUPPLIERS by AIRPLANE</t>
  </si>
  <si>
    <t>Total distance CREW, VOLUNTEERS and SUPPLIERS by SHIP/FERRY</t>
  </si>
  <si>
    <t>Total distance CREW, VOLUNTEERS and SUPPLIERS by SAILING, ELECTRIC or BIOFUEL SHIP/FERRY</t>
  </si>
  <si>
    <t>Total distance CREW, VOLUNTEERS and SUPPLIERS by SHUTTLE on FOSSIL FUEL</t>
  </si>
  <si>
    <t>Total distance CREW, VOLUNTEERS and SUPPLIERS by SHUTTLE ELECTRIC or BIOFUEL</t>
  </si>
  <si>
    <t>per vehicle</t>
  </si>
  <si>
    <t>Total vehicle-km VISITORS by CAR or TAXI on FOSSIL FUEL</t>
  </si>
  <si>
    <t>Vehicle-km</t>
  </si>
  <si>
    <t>Total vehicle-km VISITORS by ELECTRIC OR BIOFUEL CAR or TAXI</t>
  </si>
  <si>
    <t>Total vehicle-km ARTISTS by CAR or TAXI on FOSSIL FUEL</t>
  </si>
  <si>
    <t>Total vehicle-km ARTISTS by ELECTRIC OR BIOFUEL CAR or TAXI</t>
  </si>
  <si>
    <t>Total vehicle-km CREW, VOLUNTEERS and SUPPLIERS by CAR or TAXI on FOSSIL FUEL</t>
  </si>
  <si>
    <t>Total vehicle-km CREW, VOLUNTEERS and SUPPLIERS by ELECTRIC OR BIOFUEL CAR or TAXI</t>
  </si>
  <si>
    <t>Sub-category</t>
  </si>
  <si>
    <t>Fill-out indicator</t>
  </si>
  <si>
    <t>Entry_AD_0</t>
  </si>
  <si>
    <t>Unit_AD_0</t>
  </si>
  <si>
    <t>Conv fact 1</t>
  </si>
  <si>
    <t>Unit_AD_1</t>
  </si>
  <si>
    <t>Conv fact 2</t>
  </si>
  <si>
    <t>Unit_AD_2</t>
  </si>
  <si>
    <t>EF</t>
  </si>
  <si>
    <t>EF-Unit</t>
  </si>
  <si>
    <t>Unit check</t>
  </si>
  <si>
    <t>Results 
(kg CO2-eq)</t>
  </si>
  <si>
    <t>Energy</t>
  </si>
  <si>
    <t>Electricity</t>
  </si>
  <si>
    <t>Direct</t>
  </si>
  <si>
    <t>Fuel</t>
  </si>
  <si>
    <t>L</t>
  </si>
  <si>
    <t>m3</t>
  </si>
  <si>
    <t>Procured new materials</t>
  </si>
  <si>
    <t>tonne</t>
  </si>
  <si>
    <t>Indirect</t>
  </si>
  <si>
    <t>item</t>
  </si>
  <si>
    <t>ton</t>
  </si>
  <si>
    <t>kg CO2-eq / ton</t>
  </si>
  <si>
    <t>Visitors</t>
  </si>
  <si>
    <t>kg CO2 / traveller-km</t>
  </si>
  <si>
    <t>kg CO2 / vehicle-km</t>
  </si>
  <si>
    <t>Artists</t>
  </si>
  <si>
    <t>Crew, volunteers and suppliers</t>
  </si>
  <si>
    <t>Internal transport and building equipment</t>
  </si>
  <si>
    <t>Supplier transportation</t>
  </si>
  <si>
    <t>Fuel replacement</t>
  </si>
  <si>
    <t>Water</t>
  </si>
  <si>
    <t>Food</t>
  </si>
  <si>
    <t>Drinks</t>
  </si>
  <si>
    <t>kg CO2-eq / L</t>
  </si>
  <si>
    <t>Overnight stay</t>
  </si>
  <si>
    <t>Internal stays</t>
  </si>
  <si>
    <t>stays</t>
  </si>
  <si>
    <t>guest*night</t>
  </si>
  <si>
    <t>External stays</t>
  </si>
  <si>
    <t>kg co2 / guest*night</t>
  </si>
  <si>
    <t>Digital</t>
  </si>
  <si>
    <t>view</t>
  </si>
  <si>
    <t>kg CO2-eq / view</t>
  </si>
  <si>
    <t>email</t>
  </si>
  <si>
    <t>app session</t>
  </si>
  <si>
    <t>GB</t>
  </si>
  <si>
    <t>kg CO2 / GB</t>
  </si>
  <si>
    <t>Quanitity</t>
  </si>
  <si>
    <t>Background of factor</t>
  </si>
  <si>
    <t>Source(s) used</t>
  </si>
  <si>
    <t>Scope</t>
  </si>
  <si>
    <t>Notes</t>
  </si>
  <si>
    <t>Note - some factors are also used for other themes (e.g. fuel consumpion of suppliers as part of travel &amp; transport)</t>
  </si>
  <si>
    <t>Average grid electricity (grid mix)</t>
  </si>
  <si>
    <t>kg CO2 / kWh</t>
  </si>
  <si>
    <t>Directly linked to source</t>
  </si>
  <si>
    <t>Ecoinvent 3.8, IPCC 2021 GWP100</t>
  </si>
  <si>
    <t>Europe</t>
  </si>
  <si>
    <t>WTW; Mix of non-renewable and renewable sources. Could also be used for electricity from batteries</t>
  </si>
  <si>
    <t>Renewable electricity use</t>
  </si>
  <si>
    <t>CO2emissiefactoren.nl</t>
  </si>
  <si>
    <t>WTW; 100% renewable sources. Could also be used for electricity from batteries</t>
  </si>
  <si>
    <t>Diesel (B7 blend)</t>
  </si>
  <si>
    <t>Petrol  (E10 blend)</t>
  </si>
  <si>
    <t>HVO biodiesel (Hydrotreated Vegetable Oil) B100 - NL</t>
  </si>
  <si>
    <t>WTW</t>
  </si>
  <si>
    <t>Natural gas (grid)</t>
  </si>
  <si>
    <t>kg CO2-eq / m3</t>
  </si>
  <si>
    <t>Natural gas (bottled)</t>
  </si>
  <si>
    <t>kg CO2-eq / kg</t>
  </si>
  <si>
    <t>Bio-gas (bottled)</t>
  </si>
  <si>
    <t>Hydrogen (grey)</t>
  </si>
  <si>
    <t>Global</t>
  </si>
  <si>
    <t>Hydrogen (green)</t>
  </si>
  <si>
    <t>Energy content of diesel</t>
  </si>
  <si>
    <t>MJ / L</t>
  </si>
  <si>
    <t>RVO - Nederlandse energiedragerlijst</t>
  </si>
  <si>
    <t>Conversion factor</t>
  </si>
  <si>
    <t>Energy content of gasoline</t>
  </si>
  <si>
    <t>Energy content of CNG / bottled natural gas</t>
  </si>
  <si>
    <t>MJ / kg</t>
  </si>
  <si>
    <t>Energy content of natural gas (grid)</t>
  </si>
  <si>
    <t>MJ / m3</t>
  </si>
  <si>
    <t>Materials</t>
  </si>
  <si>
    <t>Steel</t>
  </si>
  <si>
    <t>kg CO2-eq / tonne</t>
  </si>
  <si>
    <t>Idemat2024</t>
  </si>
  <si>
    <t>Stainless steel average</t>
  </si>
  <si>
    <t>Recycled steel</t>
  </si>
  <si>
    <t>Recalculation of combined set of emission factors</t>
  </si>
  <si>
    <t>We use the ratio of secondary steel EF to average steel to calculate recycled steel</t>
  </si>
  <si>
    <t>Aluminum (virgin / trade mix)</t>
  </si>
  <si>
    <t>JRC report : Towards recycling indicators based on EU flows and raw materials analysis system data. 2018</t>
  </si>
  <si>
    <t>Aluminum (secondary)</t>
  </si>
  <si>
    <t>from: Zare et al. F. 2016 LIFE CYCLE ASSESSMENT OF SECONDARY EXTRUDED ALUMINUM PRODUCTION PROCESS IN INDUSTRIAL CITY OF ARAK
APPLIED ECOLOGY AND ENVIRONMENTAL RESEARCH 14(2):125-135.</t>
  </si>
  <si>
    <t>Other metals</t>
  </si>
  <si>
    <t>95% Copper, 5% magnesium alloys</t>
  </si>
  <si>
    <t>Other recycled metals</t>
  </si>
  <si>
    <t>We use the ratio of secondary steel EF to average steel to calculate recycled other metals</t>
  </si>
  <si>
    <t>Wood</t>
  </si>
  <si>
    <t>Plywood, outdoor use, Okoumei plantation (500 kg/m3)</t>
  </si>
  <si>
    <t>Idemat2021</t>
  </si>
  <si>
    <t>Recycled textile</t>
  </si>
  <si>
    <t>Plastic (virgin)</t>
  </si>
  <si>
    <t>Idemat2023</t>
  </si>
  <si>
    <t>Mix of different plastics</t>
  </si>
  <si>
    <t>Recycled plastic</t>
  </si>
  <si>
    <t>Recycling midex polymer</t>
  </si>
  <si>
    <t>Biobased plastic</t>
  </si>
  <si>
    <t>Idemat2024;  Eionet Report – ETC/WMGE 2021/3</t>
  </si>
  <si>
    <t>Paper/ cardboard (virgin)</t>
  </si>
  <si>
    <t>Recycled Paper / cardboard</t>
  </si>
  <si>
    <t>Assumed to be 62% of carbon footprint of virgin paper based on CE Delft</t>
  </si>
  <si>
    <t>Sorting + transport</t>
  </si>
  <si>
    <t>Treatment, Europe average (50% anaerobic digestion and 50% industrial composting) + transport</t>
  </si>
  <si>
    <t>Treatment + transport</t>
  </si>
  <si>
    <t>Sorting &amp; shredding + transport</t>
  </si>
  <si>
    <t>Treatment ('breaking') of construction and demolition waste + transport</t>
  </si>
  <si>
    <t>Landfill</t>
  </si>
  <si>
    <t>Landfill organic wate without CH4 emission prevention</t>
  </si>
  <si>
    <t>Incineration (no energy recovery)</t>
  </si>
  <si>
    <t>No positive impact quantified of electricity/heat production (consistent with recycled streams)</t>
  </si>
  <si>
    <t>Incineration (with energy recovery)</t>
  </si>
  <si>
    <t>% PMD from post-separated waste</t>
  </si>
  <si>
    <t>% of residual waste</t>
  </si>
  <si>
    <t>Expert judgement</t>
  </si>
  <si>
    <t>Weight of 1 item of reusable cups</t>
  </si>
  <si>
    <t>kg / item</t>
  </si>
  <si>
    <t>https://www.ecopack.pt/Festival-Reusable-Cup-300ml-PP</t>
  </si>
  <si>
    <t>Weight of 1 item of single-use cups</t>
  </si>
  <si>
    <t>https://coposplastico.com/Cups-Desechables-500-ml-PP</t>
  </si>
  <si>
    <t>Weight of 1 item of reusable tableware</t>
  </si>
  <si>
    <t>https://www.mepal.com/nl/plat-bord-basic-p250-retro-green-102602093400?gclid=CjwKCAjwrranBhAEEiwAzbhNtaT3AiXrff0Oalr5eOrxRPZziw-xLrYNV5pQIH4b7B0bESIn_W1NaRoCiP4QAvD_BwE</t>
  </si>
  <si>
    <t>Weight of 1 item of single-use tableware</t>
  </si>
  <si>
    <t>https://www.sciencedirect.com/science/article/pii/S2352550920305777</t>
  </si>
  <si>
    <t>Weight of 1 item of reusable cutlery</t>
  </si>
  <si>
    <t>Reusable tableware at festivals (2023) - Mission reuse</t>
  </si>
  <si>
    <t>Weight of 1 item of single-use cutlery</t>
  </si>
  <si>
    <t>https://www.biofutura.com/en/fsc-bamboo-cutlery-set-17-cm</t>
  </si>
  <si>
    <t>Production of reusable cups / tableware / cutlery</t>
  </si>
  <si>
    <t>kg CO2 / kg</t>
  </si>
  <si>
    <t>Assumed to be made of Polypropylene (trade mix); multipied by missing items</t>
  </si>
  <si>
    <t>Production of single use cutlery (SU)</t>
  </si>
  <si>
    <t>kg CO2 / item</t>
  </si>
  <si>
    <t>https://open.library.ubc.ca/soa/cIRcle/collections/undergraduateresearch/18861/items/1.0108511</t>
  </si>
  <si>
    <t>Metro, tram, electric or biofuel bus</t>
  </si>
  <si>
    <t>kg CO2e / passenger-kilometre</t>
  </si>
  <si>
    <t>Assumed to be 0, given that electric / biofuel transportation has a lower emission factor per km which is additionally divided by traveller-kms</t>
  </si>
  <si>
    <t>Train</t>
  </si>
  <si>
    <t>Assumed to be 0, given that Dutch railways uses 100% renewable electricity for trains</t>
  </si>
  <si>
    <t>Car on fossil fuel</t>
  </si>
  <si>
    <t>kg CO2-eq / km</t>
  </si>
  <si>
    <t>Electric car</t>
  </si>
  <si>
    <t>Dependent on year, see variable emission factors</t>
  </si>
  <si>
    <t>(Festival) coach on bio-fuel / electric</t>
  </si>
  <si>
    <t>(Festival) coach on fossil fuel</t>
  </si>
  <si>
    <t>Local bus on diesel</t>
  </si>
  <si>
    <t>kg CO2-eq / passenger-kilometre</t>
  </si>
  <si>
    <t>Pedestrian / bicycle</t>
  </si>
  <si>
    <t>No (fossil) energy consumed, hence no emissions</t>
  </si>
  <si>
    <t>Assumed no emissions</t>
  </si>
  <si>
    <t>Airplane</t>
  </si>
  <si>
    <t>Average of all distances</t>
  </si>
  <si>
    <t>Ferry</t>
  </si>
  <si>
    <t>DEFRA - conversion factors 2023</t>
  </si>
  <si>
    <t>UK</t>
  </si>
  <si>
    <t>SAILING, ELECTRIC or BIOFUEL SHIP/FERRY</t>
  </si>
  <si>
    <t>Average of set of emission factors (see reference)</t>
  </si>
  <si>
    <t>Based on average of avocado, bell pepper, cauliflower, cucumber, lettuce and tomato</t>
  </si>
  <si>
    <t>Cereals</t>
  </si>
  <si>
    <t>Based on market average of wheat (55% of EU market)</t>
  </si>
  <si>
    <t>Based on most popular fruits consumed in Europe: Bananas, apples, strawberry</t>
  </si>
  <si>
    <t>Sauce / condiment</t>
  </si>
  <si>
    <t>Average of ketchup, tomato sauce, mustard, mayonnaise and BBQ sauce</t>
  </si>
  <si>
    <t>Dairy food</t>
  </si>
  <si>
    <t>Average of cheese and yoghurt</t>
  </si>
  <si>
    <t>Dairy-based drink</t>
  </si>
  <si>
    <t>Assumed to be equivalent to dairy drink</t>
  </si>
  <si>
    <t>Poore and Nemecek (2018) - Reducing food's environmental impacts through producers and consumers</t>
  </si>
  <si>
    <t>Average of beef, lamb and pork</t>
  </si>
  <si>
    <t>Assumed to be 100% poultry</t>
  </si>
  <si>
    <t>Meat (average)</t>
  </si>
  <si>
    <t>Average of beef, lamb, pork and poultry</t>
  </si>
  <si>
    <t>Fish</t>
  </si>
  <si>
    <t>Average of farm fish, caught fish and shrimp</t>
  </si>
  <si>
    <t>Mineral water</t>
  </si>
  <si>
    <t>Makov, T., et al. (2019). Better than bottled water?—Energy and climate change impacts of on-the-go drinking water stations. Resources, Conservation and Recycling, 143, 320-328.</t>
  </si>
  <si>
    <t>Beer, pale lager</t>
  </si>
  <si>
    <t>Amienyo et al., 2016, Life cycle environmental impacts and costs of beer production and consumption in the UK</t>
  </si>
  <si>
    <t xml:space="preserve">Incl steel packaging (can/barrel); average of 3 </t>
  </si>
  <si>
    <t>Craft beer</t>
  </si>
  <si>
    <t>Expert opinion</t>
  </si>
  <si>
    <t>Assumed to be similar to beer, pale lager given the main production process</t>
  </si>
  <si>
    <t>Spirit</t>
  </si>
  <si>
    <t>https://www.bieroundtable.com/wp-content/uploads/49d7a0_7643fd3fae5d4daf939cd5373389e4e0.pdf</t>
  </si>
  <si>
    <t>Assumed column destillation</t>
  </si>
  <si>
    <t>Soda / soft drinks from tap water</t>
  </si>
  <si>
    <t>Amienyo et al., 2012, Life cycle environmental impacts of carbonated soft drinks</t>
  </si>
  <si>
    <t>See figure 3</t>
  </si>
  <si>
    <t>Soda from a bottle/can</t>
  </si>
  <si>
    <t>Mixed drinks</t>
  </si>
  <si>
    <t>Recalculation of set of emission factors</t>
  </si>
  <si>
    <t>Coffee OLD</t>
  </si>
  <si>
    <t>60 gram coffee bean / L coffee; direct water use disregarded</t>
  </si>
  <si>
    <t>Coffee</t>
  </si>
  <si>
    <t>Assumed 0.42 kg milk and 0.11 kg of coffee grounds per L of coffee</t>
  </si>
  <si>
    <t>Tea</t>
  </si>
  <si>
    <t>Assumed 10g of tea per liter</t>
  </si>
  <si>
    <t>Juice</t>
  </si>
  <si>
    <t>Average of concentrate juices orange, lemon, apple and grape</t>
  </si>
  <si>
    <t>Wine</t>
  </si>
  <si>
    <t>Evaluation of the carbon footprint of the life cycle of wine production: A review (2022)</t>
  </si>
  <si>
    <t>Including bottle</t>
  </si>
  <si>
    <t>Meals very high impact</t>
  </si>
  <si>
    <t>60% cow/lamp/mutton; 30% wheat/rice/potato; 10% salad</t>
  </si>
  <si>
    <t>Meals high impact</t>
  </si>
  <si>
    <t>60% pork/poultry/cheese; 30% wheat/rice/potato; 10% salad</t>
  </si>
  <si>
    <t>Meals medium impact</t>
  </si>
  <si>
    <t>35% fish/egg/prawn; 55% wheat/rice/potato; 10% salad</t>
  </si>
  <si>
    <t>Meals low impact</t>
  </si>
  <si>
    <t>35% tomato/vegetables/nuts; 55% wheat/rey; 10% salad</t>
  </si>
  <si>
    <t>Meals very low impact</t>
  </si>
  <si>
    <t>45% vegetables/fruits; 45% corn/soy/casave; 10% salad</t>
  </si>
  <si>
    <t>Average weight of 1 meal</t>
  </si>
  <si>
    <t>kg / meal</t>
  </si>
  <si>
    <t>Assumption based on expert opinion</t>
  </si>
  <si>
    <t>Overnight stay at hotel or holiday house</t>
  </si>
  <si>
    <t>Hotel, luxury</t>
  </si>
  <si>
    <t>External camp site</t>
  </si>
  <si>
    <t>Tap water</t>
  </si>
  <si>
    <t>Ground water</t>
  </si>
  <si>
    <t>Assumed to be 0 as emissions for gathering/utilizing groundwater on festival location is associated with local energy consumption</t>
  </si>
  <si>
    <t>Rainwater</t>
  </si>
  <si>
    <t>Assumed to be 0 as emissions for gathering/utilizing rainwater on festival location is associated with local energy consumption</t>
  </si>
  <si>
    <t>Waste water treatment</t>
  </si>
  <si>
    <t>New Efs</t>
  </si>
  <si>
    <t>Recycled wood procured</t>
  </si>
  <si>
    <t>Emission Factor: Wood (Closed-loop source) | Agriculture/Hunting/Forestry/Fishing | Timber and Forestry Products | United Kingdom | Climatiq</t>
  </si>
  <si>
    <t>kg CO2-eq / email</t>
  </si>
  <si>
    <t>kg CO2-eq/ app session</t>
  </si>
  <si>
    <t>kg CO2-eq/ view</t>
  </si>
  <si>
    <t>Background emission factor meat</t>
  </si>
  <si>
    <t>Factor</t>
  </si>
  <si>
    <t>Ratio</t>
  </si>
  <si>
    <t>Remark</t>
  </si>
  <si>
    <t>Hotel, budget</t>
  </si>
  <si>
    <t>kg CO2 / guest-night</t>
  </si>
  <si>
    <t>Hotel, upmarket</t>
  </si>
  <si>
    <t>Background emission factor diesel</t>
  </si>
  <si>
    <t>Density of diesel</t>
  </si>
  <si>
    <t>kg / liter</t>
  </si>
  <si>
    <t>Production, properties and environmental impact of hydrocarbon fuel conversion (2011)</t>
  </si>
  <si>
    <t>Energy content of diesel per kg</t>
  </si>
  <si>
    <t xml:space="preserve">MJ / kg </t>
  </si>
  <si>
    <t>RVO - Nederlandse-energiedragerlijst</t>
  </si>
  <si>
    <t>MJ / liter</t>
  </si>
  <si>
    <t>Energy content of gasoline per kg</t>
  </si>
  <si>
    <t>Density of gasoline</t>
  </si>
  <si>
    <t>Emission factor</t>
  </si>
  <si>
    <t>Beef</t>
  </si>
  <si>
    <t>kg CO2 per kg</t>
  </si>
  <si>
    <t>Average of beef herd and dairy herd</t>
  </si>
  <si>
    <t>Lamb and mutton</t>
  </si>
  <si>
    <t>Pig meat</t>
  </si>
  <si>
    <t>Poultry meat</t>
  </si>
  <si>
    <t>Combined emission factor of meat</t>
  </si>
  <si>
    <t>Ratio based on expert opinion</t>
  </si>
  <si>
    <t>Background emission factor sauce/condiment</t>
  </si>
  <si>
    <t>Tomato ketchup</t>
  </si>
  <si>
    <t>Tomato sauce</t>
  </si>
  <si>
    <t>Mustard</t>
  </si>
  <si>
    <t>Mayonnaise</t>
  </si>
  <si>
    <t>BBQ-sauce</t>
  </si>
  <si>
    <t>Combined emission factor of sauce/condiment</t>
  </si>
  <si>
    <t>Background emission factor fruit</t>
  </si>
  <si>
    <t>Bananas</t>
  </si>
  <si>
    <t>Apples</t>
  </si>
  <si>
    <t>Strawberry</t>
  </si>
  <si>
    <t>Fruit</t>
  </si>
  <si>
    <t>Background emission factor fish</t>
  </si>
  <si>
    <t>Shrimps</t>
  </si>
  <si>
    <t>Farmed fish</t>
  </si>
  <si>
    <t>Caught fish</t>
  </si>
  <si>
    <t>Background emission factor dairy</t>
  </si>
  <si>
    <t>Cheese</t>
  </si>
  <si>
    <t>Yoghurt</t>
  </si>
  <si>
    <t>Diary</t>
  </si>
  <si>
    <t>Background emission factor coffee including dairy</t>
  </si>
  <si>
    <t>Milk</t>
  </si>
  <si>
    <t>kg CO2 / kg milk</t>
  </si>
  <si>
    <t>Milk amount per L</t>
  </si>
  <si>
    <t>kg milk per L coffee</t>
  </si>
  <si>
    <t>Based on festival experience dta</t>
  </si>
  <si>
    <t>Coffee grounds</t>
  </si>
  <si>
    <t>kg CO2 / kg coffee</t>
  </si>
  <si>
    <t>Coffee grounds per L coffee</t>
  </si>
  <si>
    <t>kg coffee / L coffee</t>
  </si>
  <si>
    <t>Coffee NEW</t>
  </si>
  <si>
    <t>kg CO2 / L coffee</t>
  </si>
  <si>
    <t>Background emission factor vegetables</t>
  </si>
  <si>
    <t>Avocado</t>
  </si>
  <si>
    <t>Bell pepper</t>
  </si>
  <si>
    <t>Cauliflower</t>
  </si>
  <si>
    <t>Cucumber</t>
  </si>
  <si>
    <t>Lettuce</t>
  </si>
  <si>
    <t>Tomato</t>
  </si>
  <si>
    <t>Background emission factor mixed drinks</t>
  </si>
  <si>
    <t>Soda</t>
  </si>
  <si>
    <t>Sugar</t>
  </si>
  <si>
    <t>Background emission factor meals</t>
  </si>
  <si>
    <t>Main</t>
  </si>
  <si>
    <t>Carb</t>
  </si>
  <si>
    <t>Side</t>
  </si>
  <si>
    <t>Meal impact</t>
  </si>
  <si>
    <t>Super high</t>
  </si>
  <si>
    <t>High</t>
  </si>
  <si>
    <t>Medium</t>
  </si>
  <si>
    <t>Low</t>
  </si>
  <si>
    <t>Ultra-low</t>
  </si>
  <si>
    <t>Background emission factor plastic</t>
  </si>
  <si>
    <t>PE (HDPE, High density Polyethylene)</t>
  </si>
  <si>
    <t>PP (Polypropylene)</t>
  </si>
  <si>
    <t>PS (GPPS, general purpose polystyrene)</t>
  </si>
  <si>
    <t>PVC (Polyvinylchloride, trade mix)</t>
  </si>
  <si>
    <t>Plastic</t>
  </si>
  <si>
    <t>Ratio biobased vs fossil</t>
  </si>
  <si>
    <t>Greenhouse gas emissions
and natural capital implications
of plastics (including biobased plastics), Eionet Report – ETC/WMGE 2021/3</t>
  </si>
  <si>
    <t>Ratio of production and conversion of fossil (fig 2-5) and biobased (fig 3-1)</t>
  </si>
  <si>
    <t>Background emission factor metals</t>
  </si>
  <si>
    <t>Copper</t>
  </si>
  <si>
    <t>Magnesium</t>
  </si>
  <si>
    <t xml:space="preserve">Weight of cups, tableware and </t>
  </si>
  <si>
    <t>kg / itm</t>
  </si>
  <si>
    <t>https://gobambu.co.uk/products/bamboo-cutlery-set</t>
  </si>
  <si>
    <t>Transport, freight, lorry, unspecified</t>
  </si>
  <si>
    <t>tkg CO2-eq / tkm</t>
  </si>
  <si>
    <t>Electricity, low voltage, Europe average</t>
  </si>
  <si>
    <t>kg CO2-eq / kWh</t>
  </si>
  <si>
    <t>Electricity, high voltage, Europe average</t>
  </si>
  <si>
    <t>kg CO2-eq / MJ</t>
  </si>
  <si>
    <t>Heat, dsitrict or industrial, Europe average</t>
  </si>
  <si>
    <t>Diesel, burned in building machine</t>
  </si>
  <si>
    <t>Background emission factor social media</t>
  </si>
  <si>
    <t xml:space="preserve">Facebook </t>
  </si>
  <si>
    <t>g CO2-eq / hr</t>
  </si>
  <si>
    <t>The overlooked environmental footprint of increasing Internet use - ScienceDirect</t>
  </si>
  <si>
    <t xml:space="preserve">Twitter </t>
  </si>
  <si>
    <t xml:space="preserve">Instagram </t>
  </si>
  <si>
    <t xml:space="preserve">Snapchat </t>
  </si>
  <si>
    <t xml:space="preserve">TikTok </t>
  </si>
  <si>
    <t>Social media</t>
  </si>
  <si>
    <t>kg CO2-eq / hr</t>
  </si>
  <si>
    <t>Background emission factor app sessions</t>
  </si>
  <si>
    <t>WhatsApp</t>
  </si>
  <si>
    <t>WeChat</t>
  </si>
  <si>
    <t>App sessions</t>
  </si>
  <si>
    <t>Background emission factor data stored</t>
  </si>
  <si>
    <t>Data centers</t>
  </si>
  <si>
    <t>kWh / GB</t>
  </si>
  <si>
    <t>The carbon footprint of streaming video: fact-checking the headlines – Analysis - IEA</t>
  </si>
  <si>
    <t>Transmission</t>
  </si>
  <si>
    <t>Data center and transmission</t>
  </si>
  <si>
    <t>Electricity global</t>
  </si>
  <si>
    <t>g CO2-eq / kWh</t>
  </si>
  <si>
    <t>kg CO2-eq / GB</t>
  </si>
  <si>
    <t>Split PMD waste</t>
  </si>
  <si>
    <t>Plastics</t>
  </si>
  <si>
    <t>Metals</t>
  </si>
  <si>
    <t>Split post-separation</t>
  </si>
  <si>
    <t>Percentage PMD from post-separation</t>
  </si>
  <si>
    <t>Digital footprint</t>
  </si>
  <si>
    <t>MB per FU</t>
  </si>
  <si>
    <t>GB per FU</t>
  </si>
  <si>
    <t>kg CO2 per X</t>
  </si>
  <si>
    <t>1 unit</t>
  </si>
  <si>
    <t>1 email</t>
  </si>
  <si>
    <t>1 app session</t>
  </si>
  <si>
    <t>1 view</t>
  </si>
  <si>
    <t>1 gb</t>
  </si>
  <si>
    <t>Video</t>
  </si>
  <si>
    <t>gb per hour</t>
  </si>
  <si>
    <t>gb per minute</t>
  </si>
  <si>
    <t>length social media video</t>
  </si>
  <si>
    <t>gb per video</t>
  </si>
  <si>
    <t>gb per image</t>
  </si>
  <si>
    <t>video</t>
  </si>
  <si>
    <t>image / text</t>
  </si>
  <si>
    <t>gb per view</t>
  </si>
  <si>
    <t>Categorisatie toevoegen aan resultaten</t>
  </si>
  <si>
    <t>Old --&gt;</t>
  </si>
  <si>
    <t>Themes</t>
  </si>
  <si>
    <t>Yes / no</t>
  </si>
  <si>
    <t>Relevancy of data</t>
  </si>
  <si>
    <t>Basis of data</t>
  </si>
  <si>
    <t>Textile items</t>
  </si>
  <si>
    <t>Leaflets or papers</t>
  </si>
  <si>
    <t>Other materials</t>
  </si>
  <si>
    <t>Modes</t>
  </si>
  <si>
    <t>Indoor outdoor</t>
  </si>
  <si>
    <t>Location type</t>
  </si>
  <si>
    <t>Open or closed</t>
  </si>
  <si>
    <t>Food &amp;  Drinks Packaging system</t>
  </si>
  <si>
    <t>Type of venue</t>
  </si>
  <si>
    <t>Yes</t>
  </si>
  <si>
    <t>Not applicable</t>
  </si>
  <si>
    <t>Own measurement or accounting</t>
  </si>
  <si>
    <t>Sunny</t>
  </si>
  <si>
    <t>Cotton</t>
  </si>
  <si>
    <t>Foot, Bicycle</t>
  </si>
  <si>
    <t>Indoor</t>
  </si>
  <si>
    <t>Urban</t>
  </si>
  <si>
    <t>Open</t>
  </si>
  <si>
    <t>Yes, for hot&amp;cold drinks and food</t>
  </si>
  <si>
    <t>Open field: city</t>
  </si>
  <si>
    <t>No</t>
  </si>
  <si>
    <t>Not complete</t>
  </si>
  <si>
    <t>Stakeholder inquiry</t>
  </si>
  <si>
    <t>Cloudy</t>
  </si>
  <si>
    <t>Polyester</t>
  </si>
  <si>
    <t>Metro, Tram, elektric/biofuel local bus</t>
  </si>
  <si>
    <t>Outdoor</t>
  </si>
  <si>
    <t>Rural</t>
  </si>
  <si>
    <t>Enclosed</t>
  </si>
  <si>
    <t>Yes, for hot&amp;cold drinks only</t>
  </si>
  <si>
    <t>Open field: rural</t>
  </si>
  <si>
    <t>Survey</t>
  </si>
  <si>
    <t>Rainy</t>
  </si>
  <si>
    <t>Nylon</t>
  </si>
  <si>
    <t>Local bus on fossil fuel</t>
  </si>
  <si>
    <t>Indoor and outdoor</t>
  </si>
  <si>
    <t>Mixed</t>
  </si>
  <si>
    <t>Yes, for hot drinks only</t>
  </si>
  <si>
    <t>Venue: Inside</t>
  </si>
  <si>
    <t>Estimation / assumption-based approach</t>
  </si>
  <si>
    <t xml:space="preserve">Train </t>
  </si>
  <si>
    <t>Yes, for cold drinks only</t>
  </si>
  <si>
    <t>Venue: outside</t>
  </si>
  <si>
    <t>No data source - left blank</t>
  </si>
  <si>
    <t>Organic cotton</t>
  </si>
  <si>
    <t>(Festival) coach on biofuel / electric</t>
  </si>
  <si>
    <t>Yes, for food only</t>
  </si>
  <si>
    <t>Venue: Inside &amp; Outside</t>
  </si>
  <si>
    <t>Not applicable - left blank</t>
  </si>
  <si>
    <t>Car/minibus/taxi on biofuel / electric: 1 or 2 passengers</t>
  </si>
  <si>
    <t>Car/minibus/taxi on biofuel / electric: 3 or more passengers</t>
  </si>
  <si>
    <t>Supplier selection</t>
  </si>
  <si>
    <t>Car/minibus/taxi on fossil-fuel: 1 or 2 passengers</t>
  </si>
  <si>
    <t>Sustainable product offering of supplier</t>
  </si>
  <si>
    <t>Car/minibus/taxi on fossil-fuel: 3 or more passengers</t>
  </si>
  <si>
    <t>Supplier sustainability reporting</t>
  </si>
  <si>
    <t>Interview or conversation with supplier</t>
  </si>
  <si>
    <t>Ship</t>
  </si>
  <si>
    <t>Questionnaire or survey of supplier(s)</t>
  </si>
  <si>
    <t>Other selection process than mentioned</t>
  </si>
  <si>
    <t>Engaging visitors</t>
  </si>
  <si>
    <t>Fully excluding any non-sustainable products</t>
  </si>
  <si>
    <t>Offering and promoting sustainable products which make up more than 50% of what is offered</t>
  </si>
  <si>
    <t>Offering and promoting sustainable products which make up less than 50% of what is offered</t>
  </si>
  <si>
    <t>Other type of engagement</t>
  </si>
  <si>
    <t>Check percentages for travellers</t>
  </si>
  <si>
    <t>Crew</t>
  </si>
  <si>
    <t>Manual connection to input sheet</t>
  </si>
  <si>
    <t>Hoe om te gaan me fuel replacement and carbon removal</t>
  </si>
  <si>
    <t>Row Labels</t>
  </si>
  <si>
    <t>Grand Total</t>
  </si>
  <si>
    <t>Results
(ton CO2-eq)</t>
  </si>
  <si>
    <t>Export Lookup indicator</t>
  </si>
  <si>
    <t>Litres</t>
  </si>
  <si>
    <t>Sum of Results
(ton CO2-eq)</t>
  </si>
  <si>
    <t>Column Labels</t>
  </si>
  <si>
    <t>20230317 Report reusable tableware at festivals VOOR PARTNERS DEF</t>
  </si>
  <si>
    <t>Same as Paper/ Cardboard (virgin)</t>
  </si>
  <si>
    <t>Assumed to be Paper/cardboard</t>
  </si>
  <si>
    <t>DIGITAL FOOTPRINT</t>
  </si>
  <si>
    <t>Travel</t>
  </si>
  <si>
    <t>Transport</t>
  </si>
  <si>
    <t>This page displays the list with emission factors used for the emission calculations.</t>
  </si>
  <si>
    <t>This page displays a general overview of the monitoring results for your festival.</t>
  </si>
  <si>
    <t>This page provides context and explanation for collecting data and using the input sheet</t>
  </si>
  <si>
    <t>Emission/conversion factors</t>
  </si>
  <si>
    <t>Start date:</t>
  </si>
  <si>
    <t>Duration:</t>
  </si>
  <si>
    <t>Location:</t>
  </si>
  <si>
    <t>Open or enclosed:</t>
  </si>
  <si>
    <t>Indoor or outdoor:</t>
  </si>
  <si>
    <t>Own festival campsite:</t>
  </si>
  <si>
    <t>Weather:</t>
  </si>
  <si>
    <t>Avg number of visitors per day:</t>
  </si>
  <si>
    <t>Crew members and volunteers:</t>
  </si>
  <si>
    <t>Suppliers and contractors:</t>
  </si>
  <si>
    <t>Quick Facts</t>
  </si>
  <si>
    <t>Dashboard Green Deal Circular Festivals</t>
  </si>
  <si>
    <t>Measuring festivals' climate and material footprint</t>
  </si>
  <si>
    <t>Materials procured</t>
  </si>
  <si>
    <t>(All)</t>
  </si>
  <si>
    <t>Indicator-short</t>
  </si>
  <si>
    <t>Indicator-type</t>
  </si>
  <si>
    <t>(Other) metals</t>
  </si>
  <si>
    <t>Synthetic textiles</t>
  </si>
  <si>
    <t>Bio-based textiles</t>
  </si>
  <si>
    <t>Synthetic plastics</t>
  </si>
  <si>
    <t>Bio-based plastics</t>
  </si>
  <si>
    <t>Residual waste</t>
  </si>
  <si>
    <t>Cooking oil</t>
  </si>
  <si>
    <t>Organic / food</t>
  </si>
  <si>
    <t>Building / demolition</t>
  </si>
  <si>
    <t>Residual</t>
  </si>
  <si>
    <t>Aluminum</t>
  </si>
  <si>
    <t>Glass</t>
  </si>
  <si>
    <t>Paper/cardboard</t>
  </si>
  <si>
    <t>Separated for recycling</t>
  </si>
  <si>
    <t>Paper</t>
  </si>
  <si>
    <t>Recycled / Second Hand</t>
  </si>
  <si>
    <t>Virgin</t>
  </si>
  <si>
    <t>Cups, tableware, cutlery</t>
  </si>
  <si>
    <t>Website</t>
  </si>
  <si>
    <t>Emails</t>
  </si>
  <si>
    <t>App</t>
  </si>
  <si>
    <t>Stored data</t>
  </si>
  <si>
    <t>This page displays a detailed overview of the monitoring results for your festival.</t>
  </si>
  <si>
    <t>Grid</t>
  </si>
  <si>
    <t>Batteries</t>
  </si>
  <si>
    <t>Generators</t>
  </si>
  <si>
    <t>Bottles</t>
  </si>
  <si>
    <t>Renewable</t>
  </si>
  <si>
    <t>Sustainable</t>
  </si>
  <si>
    <t>Non-renewable</t>
  </si>
  <si>
    <t>Natural gas</t>
  </si>
  <si>
    <t>Diesel</t>
  </si>
  <si>
    <t>Biofuel</t>
  </si>
  <si>
    <t>Grid and bottles</t>
  </si>
  <si>
    <t>Foot or bicycle</t>
  </si>
  <si>
    <t>Metro or tram</t>
  </si>
  <si>
    <t>Car or taxi</t>
  </si>
  <si>
    <t>Local bus</t>
  </si>
  <si>
    <t>Coach</t>
  </si>
  <si>
    <t>Ship/ferry</t>
  </si>
  <si>
    <t>Low emission</t>
  </si>
  <si>
    <t>Shuttle</t>
  </si>
  <si>
    <t>Gasoline</t>
  </si>
  <si>
    <t>Reused water</t>
  </si>
  <si>
    <t>Meals</t>
  </si>
  <si>
    <t>Ultra low</t>
  </si>
  <si>
    <t>Zero emission</t>
  </si>
  <si>
    <t>Beer</t>
  </si>
  <si>
    <t>Bottled water</t>
  </si>
  <si>
    <t>Fruit juice</t>
  </si>
  <si>
    <t>Regular</t>
  </si>
  <si>
    <t>Tap water soda</t>
  </si>
  <si>
    <t>Owned campsite</t>
  </si>
  <si>
    <t>External campsite</t>
  </si>
  <si>
    <t>Climate neutral</t>
  </si>
  <si>
    <t>Hotels, houses, apartments</t>
  </si>
  <si>
    <t>Regular emission</t>
  </si>
  <si>
    <t>This page calculates/converts the values from the input sheet to be able to calculate an CO2-footprint.</t>
  </si>
  <si>
    <t>CO2-calculation</t>
  </si>
  <si>
    <t>This page connects A) the values from the 'Input sheet' and B) the values calculated in 'Facilitary data' with the emission factors from 'Emission factors - list'</t>
  </si>
  <si>
    <t>EF-background info</t>
  </si>
  <si>
    <t>This page displays extra information and sources which were used to determine some of the emisisons factors in 'Emission factors - list'.</t>
  </si>
  <si>
    <t xml:space="preserve">   To use the tool - check these pages:</t>
  </si>
  <si>
    <t xml:space="preserve">   Want to take an indepth look into the tool - check these pages:</t>
  </si>
  <si>
    <t xml:space="preserve">  This page provides context and explanation for collecting data and using the input sheet.</t>
  </si>
  <si>
    <t xml:space="preserve">  This page is used to register the data for your festival.</t>
  </si>
  <si>
    <t xml:space="preserve">  This page displays a general overview of the monitoring results for your festival.</t>
  </si>
  <si>
    <t xml:space="preserve">  This page provides the possibility to construct your own detailled figures.</t>
  </si>
  <si>
    <t xml:space="preserve">  This page displays the list with emission factors used for the emission calculations.</t>
  </si>
  <si>
    <t xml:space="preserve">  This page displays the basic calculations/conversions for establishing the CO2-footprint.</t>
  </si>
  <si>
    <t xml:space="preserve">  This page displays extra information/sources used to determine the emisisons factors in 'Emission factors - list'.</t>
  </si>
  <si>
    <t xml:space="preserve">  This page displays the intermediate and background calculations/conversions for establishing the CO2-footprint.</t>
  </si>
  <si>
    <t>Carbon removal and fuel replacement</t>
  </si>
  <si>
    <t>Goal: climate neutral and circular</t>
  </si>
  <si>
    <t>Non-circular</t>
  </si>
  <si>
    <t>Circular</t>
  </si>
  <si>
    <t>Virgin - Bio-based</t>
  </si>
  <si>
    <t>Non-sustainable</t>
  </si>
  <si>
    <t>Sum of Entry_AD_0</t>
  </si>
  <si>
    <t>Value_AD_unit</t>
  </si>
  <si>
    <t>ltr</t>
  </si>
  <si>
    <t>Input</t>
  </si>
  <si>
    <t>Output</t>
  </si>
  <si>
    <t>kg CO2-eq</t>
  </si>
  <si>
    <t>kg CO2-eq / kg CO2-eq</t>
  </si>
  <si>
    <t>(Multiple Items)</t>
  </si>
  <si>
    <t>Net CO2-emissions</t>
  </si>
  <si>
    <t>Gross CO2-emissions</t>
  </si>
  <si>
    <t>Key figures:</t>
  </si>
  <si>
    <t>Average CO2-emission per visitor-day:</t>
  </si>
  <si>
    <t>KEY FIGURES</t>
  </si>
  <si>
    <t>days</t>
  </si>
  <si>
    <t>Average CO2-emission per visitor-day (gross)</t>
  </si>
  <si>
    <t>Average CO2-emission per visitor-day (net)</t>
  </si>
  <si>
    <t>tonnes CO2-eq</t>
  </si>
  <si>
    <t>Circular procured mass</t>
  </si>
  <si>
    <t>Non-circular procured mass</t>
  </si>
  <si>
    <t>Average circular procured mass per visitor-day</t>
  </si>
  <si>
    <t>Average non-circular procured mass per visitor-day</t>
  </si>
  <si>
    <t>Average mass 'Procured materials' per visitor-day:</t>
  </si>
  <si>
    <t>Average mass 'End-of-life materials' per visitor-day:</t>
  </si>
  <si>
    <t>Recycled</t>
  </si>
  <si>
    <t>Recycled end-of-life mass</t>
  </si>
  <si>
    <t>Residual waste end-of-life mass</t>
  </si>
  <si>
    <t>Average recycled end-of-life mass per visitor-day</t>
  </si>
  <si>
    <t>Average residual waste end-of-life mass per visitor-day</t>
  </si>
  <si>
    <t>kg CO2-eq/visitor-day</t>
  </si>
  <si>
    <t>kg/visitor-day</t>
  </si>
  <si>
    <t>Gross</t>
  </si>
  <si>
    <t>Net</t>
  </si>
  <si>
    <t>Circular procurement percentage</t>
  </si>
  <si>
    <t>percentage</t>
  </si>
  <si>
    <t>Total travel and passenger kilometers</t>
  </si>
  <si>
    <t>Sustainable travel and passenger kilometers</t>
  </si>
  <si>
    <t>Non-sustainable travel and passenger kilometers</t>
  </si>
  <si>
    <t>Sustainable travel percentage</t>
  </si>
  <si>
    <t>Non-sustainable travel percentage</t>
  </si>
  <si>
    <t>Recyled end-of-life percentage</t>
  </si>
  <si>
    <t>Ratio sustainable / non-sustainable kilometers travelled:</t>
  </si>
  <si>
    <t>Meal</t>
  </si>
  <si>
    <t>Consumed food mass</t>
  </si>
  <si>
    <t>Consumed number of meals</t>
  </si>
  <si>
    <t>Average weight per meal</t>
  </si>
  <si>
    <t>kg/meal</t>
  </si>
  <si>
    <t>Total number of consumed meals</t>
  </si>
  <si>
    <t>Average CO2-emissions per meal</t>
  </si>
  <si>
    <t>CO2-emissions for 'Food' category</t>
  </si>
  <si>
    <t>kg CO2-eq/meal</t>
  </si>
  <si>
    <t>CO2-emissions for 'Drink' category</t>
  </si>
  <si>
    <t>kg CO2-eq/litre</t>
  </si>
  <si>
    <t>Consumed litres of drinks</t>
  </si>
  <si>
    <t>Average CO2-emissions per litre of drinks</t>
  </si>
  <si>
    <t>litres/visitor-day</t>
  </si>
  <si>
    <t>Total potable water input</t>
  </si>
  <si>
    <t>Total non-potable water input</t>
  </si>
  <si>
    <t>Average potable water consumption per visitor-day</t>
  </si>
  <si>
    <t>Average non-potable water consumption per visitor-day</t>
  </si>
  <si>
    <t>Average water use per visitor day:</t>
  </si>
  <si>
    <t>Potable</t>
  </si>
  <si>
    <t>Non-potable</t>
  </si>
  <si>
    <t>Percentage potable water of total water use</t>
  </si>
  <si>
    <t>Percentage non-potable water of total water use</t>
  </si>
  <si>
    <t>Sustainable travel and passenger kilometers per visitor day</t>
  </si>
  <si>
    <t>Non-sustainable travel and passenger kilometers per visitor-day</t>
  </si>
  <si>
    <t>km/visitor-day</t>
  </si>
  <si>
    <t>Average CO2-emission per overnight stay</t>
  </si>
  <si>
    <t>Internal</t>
  </si>
  <si>
    <t>External</t>
  </si>
  <si>
    <t>Number of internal overnight stays</t>
  </si>
  <si>
    <t>Number of external overnight stays</t>
  </si>
  <si>
    <t>number of stays</t>
  </si>
  <si>
    <t>CO2-emissions internal stays</t>
  </si>
  <si>
    <t>CO2-emissions external stays</t>
  </si>
  <si>
    <t>CO2-intensity per internal overnight stay</t>
  </si>
  <si>
    <t>CO2-intensity per external overnight stay</t>
  </si>
  <si>
    <t>kg CO2-eq/stay</t>
  </si>
  <si>
    <t>Average CO2-emission for 'Food and drinks':</t>
  </si>
  <si>
    <t>Climate data:</t>
  </si>
  <si>
    <t>Acitivity data:</t>
  </si>
  <si>
    <t>Circularity data:</t>
  </si>
  <si>
    <t>Water input</t>
  </si>
  <si>
    <t>Water output</t>
  </si>
  <si>
    <t>Cleaned on-site</t>
  </si>
  <si>
    <t>Removed from site</t>
  </si>
  <si>
    <t>Local prod.</t>
  </si>
  <si>
    <t>Hydrogen</t>
  </si>
  <si>
    <t>Sust.-class</t>
  </si>
  <si>
    <t>Supplier</t>
  </si>
  <si>
    <t>Marine</t>
  </si>
  <si>
    <t>Air</t>
  </si>
  <si>
    <t>Road</t>
  </si>
  <si>
    <t>.</t>
  </si>
  <si>
    <t>Results incl. comp. (ton CO2-eq2</t>
  </si>
  <si>
    <t>Results incl. comp. (kg CO2-eq</t>
  </si>
  <si>
    <t>Compensation (ton)</t>
  </si>
  <si>
    <t>Sum of Results incl. comp. (kg CO2-eq</t>
  </si>
  <si>
    <t>Scroll down for extra figures</t>
  </si>
  <si>
    <t>Towards Climate Neutrality: The primary goal is to reduce gross emissions as much as possible. Any remaining emissions should then be compensated for. The ultimate objective is to eliminate all greenhouse gas emissions across the entire operation.</t>
  </si>
  <si>
    <t>Towards Circularity: The goal is to close the loop - sourcing all procured materials as bio-based, recycled, and/or second-hand, and ensuring that all materials are reused, recycled, or composted at the end of their life cycle.</t>
  </si>
  <si>
    <t>CO2-Compensation</t>
  </si>
  <si>
    <t>Use the menus to the right to create your own figures.</t>
  </si>
  <si>
    <t>Facilitatory data</t>
  </si>
  <si>
    <t>facilitatory IN</t>
  </si>
  <si>
    <t>facilitatory IN is directly imported from the input sheet</t>
  </si>
  <si>
    <t>facilitatory OUT is a calculated value</t>
  </si>
  <si>
    <t>facilitatory OUT</t>
  </si>
  <si>
    <t>Value_AD_kg</t>
  </si>
  <si>
    <t>Sum of Value_AD_kg</t>
  </si>
  <si>
    <t>Spirits</t>
  </si>
  <si>
    <t>RESULT TOP LEFT</t>
  </si>
  <si>
    <t>RESULTS  BOTTOM LEFT</t>
  </si>
  <si>
    <t>RESULTS TOP RIGHT</t>
  </si>
  <si>
    <t>RESULTS BOTTOM RIGHT</t>
  </si>
  <si>
    <t>DEEP DIVE CIRCULARITY DATA PROCURED</t>
  </si>
  <si>
    <t>DEEP DIVE CIRCULARITY DATA END OF LIFE</t>
  </si>
  <si>
    <t>DEEP DIVE CO2 DATA</t>
  </si>
  <si>
    <t>DEEP DIVE ACTIVITY DATA</t>
  </si>
  <si>
    <t>WTW: assumed E10 blend
Note: Using updated value from source (version January 2025)</t>
  </si>
  <si>
    <t>WTW: assumed B7 blend
Note: Using updated value from source (version January 2025)</t>
  </si>
  <si>
    <t>WTW
Note: Using updated value from source (version January 2025)</t>
  </si>
  <si>
    <t>WTW: G-gas
Note: Using updated value from source (version January 2025)</t>
  </si>
  <si>
    <t>WTW: Bio-CNG (aardgas)
Note: Using updated value from source (version January 2025)</t>
  </si>
  <si>
    <t>WTW: CNG
Note: Using updated value from source (version January 2025)</t>
  </si>
  <si>
    <t>WTW - average class and fuel type use.
Note: Using updated value from source (version January 2025)</t>
  </si>
  <si>
    <t>Bus (unknown type) WTW
Note: Using updated value from source (version January 2025)</t>
  </si>
  <si>
    <t>Touringcar (diesel) WTW
Note: Using updated value from source (version January 2025)</t>
  </si>
  <si>
    <t>DEFRA 2023</t>
  </si>
  <si>
    <t>Fill in all 2 day visitors: total number of 2-day tickets sold for the event + all 2 day guests, etc…</t>
  </si>
  <si>
    <t>Fill in all 3 day visitors: total number of 3-day tickets sold for the event + all 3 day guests, etc…</t>
  </si>
  <si>
    <t>Fill in all 4 day visitors: total number of 4-day tickets sold for the event + all 4 day guests, etc…</t>
  </si>
  <si>
    <t>Fill in all 5 day visitors: total number of 5-day tickets sold for the event + all 5 day guests, etc…</t>
  </si>
  <si>
    <t>Fill in all 6 day visitors: total number of 6-day tickets sold for the event + all 6 day guests, etc…</t>
  </si>
  <si>
    <t>Fill in all 7 day visitors: total number of 7-day tickets sold for the event + all 7 day guests, etc…</t>
  </si>
  <si>
    <t>Fill in all 8 day visitors: total number of 8-day tickets sold for the event + all 8 day guests, etc…</t>
  </si>
  <si>
    <t>Fill in all 9 day visitors: total number of 9-day tickets sold for the event + all 9 day guests, etc…</t>
  </si>
  <si>
    <t>Fill in all 10 day visitors: totall number of 10-day tickets sold for the event + all 10 day guests, etc…</t>
  </si>
  <si>
    <t>Production of single-use tableware</t>
  </si>
  <si>
    <t>Recycling Construction and Demolition waste</t>
  </si>
  <si>
    <t>Recycling Wood</t>
  </si>
  <si>
    <t>Recycling paper &amp; cardboard</t>
  </si>
  <si>
    <t>Recycling Glass</t>
  </si>
  <si>
    <t>Recycling Plastic</t>
  </si>
  <si>
    <t>Recycling Aluminium</t>
  </si>
  <si>
    <t>Recycling Metals</t>
  </si>
  <si>
    <t>Recycling Organic</t>
  </si>
  <si>
    <t>Recycling Cooking oil</t>
  </si>
  <si>
    <r>
      <t>Tickets are sold online/digitally by the festivals ticketing department or a service party. Ask for the total amount of</t>
    </r>
    <r>
      <rPr>
        <b/>
        <sz val="12"/>
        <color theme="1"/>
        <rFont val="Calibri"/>
        <family val="2"/>
        <scheme val="minor"/>
      </rPr>
      <t xml:space="preserve"> X day tickets (including adults and kids tickets) and, if applicable, add guests and other visitors as well.</t>
    </r>
  </si>
  <si>
    <t>Fill in all single day visitors: all single day tickets sold for the event + single day guests, etc…
For example: If a 3-day (fri-sun) weekend festival sells 10,000 weekend tickets and 1,000 separate day-tickets for each of the individual festival days, the calculation is as follows: 
1-day visitors = 1,000 day-tickets * 3 festivaldays = 3,000  1-day visitors
3-day visitors = 10,000 weekend-tickets = 10,000  3-day visitors</t>
  </si>
  <si>
    <t>Choose 'Indoor' (most event activities are held indoors) or 'Outdoor' (most event activities are held outdoors; field, square, tents, etc.) or 'Indoor and outdoor' (all event activities are held both indoors and outdoors)</t>
  </si>
  <si>
    <t>Choose 'Yes' (if the event has an own (substantial) campsite) or 'No' (if the event has no own (substantial) campsite)</t>
  </si>
  <si>
    <t>Choose 'Open' (mostly; no fence, no tickets) or 'Enclosed' (mostly fenced, tickets are sold) or 'Mixed' (parts of the event are ticketed and fenced, but a significat part is non-fenced and is free to visit)</t>
  </si>
  <si>
    <t>Choose 'Rainy' (more than 50% rainy), 'Cloudy' (more than 50% cloud cover but mostly dry) or 'Sunny' (more than 50% clear skies)</t>
  </si>
  <si>
    <t>Fill in all single day visitors: all single day tickets sold for the event + single day guests, etc.… (see Manual or User Guide for calculation example)</t>
  </si>
  <si>
    <t>Fill in the average amount of km ONE WAY of an individual visitors by METRO or TRAM as their MAIN MEANS OF TRAVEL traveled to get to the event. When the average distance is unknown and this field is left open, the tool will use the average 'short' distance of 7,5 km (one way) in the calculation.</t>
  </si>
  <si>
    <t>Fill in the average amount of km ONE WAY of an individual visitors by FOOT or BICYCLE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</si>
  <si>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of an individual visitors by LOCAL BUS on FOSSIL 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</si>
  <si>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of an individual visitor by LOCAL BUS ELECTRIC or on BIOFUEL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</si>
  <si>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of an individual visitor by CAR or TAXI on FOSSIL 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</si>
  <si>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of an individual visitor by ELECTRIC OR BIOFUEL CAR or TAXI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</si>
  <si>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of an individual visitor by (festival) COACH on FOSSIL 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</si>
  <si>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of an individual visitor by (festival) COACH ELECTRIC or BIOFUEL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</si>
  <si>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of an individual visitor by TRAIN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</si>
  <si>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of an individual visitor by AIRPLANE as their MAIN MEANS OF TRAVEL traveled to get to the event. When the average distance is unknown and this field is left open (important: do NOT fill in 0 or any other value/text if the data is unknown), the tool will use the average 'long' distance of 750 km (one way) in the calculation.</t>
  </si>
  <si>
    <t>Fill in the average amount of km ONE WAY artists (and entourage) by FOOT or BICYCLE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</si>
  <si>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artists (and entourage) by METRO or TRAM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</si>
  <si>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artists (and entourage) by LOCAL BUS on FOSSIL 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</si>
  <si>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artists (and entourage) by LOCAL BUS ELECTRIC or on BIOFUEL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</si>
  <si>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artists (and entourage) by CAR or TAXI on FOSSIL FUEL as their MAIN MEANS OF TRAVEL traveled to get to the event. When the average distance is unknown and this field is left open (important: do NOT fill in 0 or any other value/text if the data is unknown), the tool will use the average 'medium' distance for artists of 200 km (one way) in the calculation.</t>
  </si>
  <si>
    <t>Fill in the average amount of km ONE WAY artists (and entourage) by ELECTRIC OR BIOFUEL CAR or TAXI as their MAIN MEANS OF TRAVEL traveled to get to the event. When the average distance is unknown and this field is left open (important: do NOT fill in 0 or any other value/text if the data is unknown), the tool will use the average 'medium' distance for artists of 200 km (one way) in the calculation.</t>
  </si>
  <si>
    <t>Fill in the average amount of km ONE WAY artists (and entourage) by (festival) COACH on FOSSIL FUEL as their MAIN MEANS OF TRAVEL traveled to get to the event. When the average distance is unknown and this field is left open (important: do NOT fill in 0 or any other value/text if the data is unknown), the tool will use the average 'medium' distance for artists of 200 km (one way) in the calculation.</t>
  </si>
  <si>
    <t>Fill in the average amount of km ONE WAY artists (and entourage) by (festival) COACH ELECTRIC or BIOFUEL as their MAIN MEANS OF TRAVEL traveled to get to the event. When the average distance is unknown and this field is left open (important: do NOT fill in 0 or any other value/text if the data is unknown), the tool will use the average 'medium' distance for artists of 200 km (one way) in the calculation.</t>
  </si>
  <si>
    <t>Fill in the average amount of km ONE WAY artists (and entourage) by TRAIN as their MAIN MEANS OF TRAVEL traveled to get to the event. When the average distance is unknown and this field is left open (important: do NOT fill in 0 or any other value/text if the data is unknown), the tool will use the average 'medium' distance for artists of 200 km (one way) in the calculation.</t>
  </si>
  <si>
    <t>Fill in the average amount of km ONE WAY artists (and entourage) by AIRPLANE as their MAIN MEANS OF TRAVEL traveled to get to the event. When the average distance is unknown and this field is left open (important: do NOT fill in 0 or any other value/text if the data is unknown), the tool will use the average 'long' distance for artists of 2500 km (one way) in the calculation.</t>
  </si>
  <si>
    <t>Fill in the average amount of km ONE WAY crew, volunteers and suppliers by FOOT or BICYCLE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</si>
  <si>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crew, volunteers and suppliers by METRO or TRAM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</si>
  <si>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crew, volunteers and suppliers by LOCAL BUS on FOSSIL 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</si>
  <si>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crew, volunteers and suppliers by LOCAL BUS ELECTRIC or on BIOFUEL as their MAIN MEANS OF TRAVEL traveled to get to the event. When the average distance is unknown and this field is left open (important: do NOT fill in 0 or any other value/text if the data is unknown), the tool will use the average 'short' distance of 7,5 km (one way) in the calculation.</t>
  </si>
  <si>
    <t>Fill in the average amount of km ONE WAY crew and volunteers by CAR or TAXI on FOSSIL 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</si>
  <si>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crew, volunteers and suppliers by ELECTRIC OR BIOFUEL CAR or TAXI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</si>
  <si>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crew, volunteers and suppliers by (festival) COACH on FOSSIL 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</si>
  <si>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crew, volunteers and suppliers by (festival) COACH ELECTRIC or BIOFUEL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</si>
  <si>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crew, volunteers and suppliers by TRAIN as their MAIN MEANS OF TRAVEL traveled to get to the event. When the average distance is unknown and this field is left open (important: do NOT fill in 0 or any other value/text if the data is unknown), the tool will use the average 'medium' distance of 80 km (one way) in the calculation.</t>
  </si>
  <si>
    <t>Fill in the average amount of km ONE WAY crew, volunteers and suppliers by AIRPLANE as their MAIN MEANS OF TRAVEL traveled to get to the event. When the average distance is unknown and this field is left open (important: do NOT fill in 0 or any other value/text if the data is unknown), the tool will use the average 'long' distance of 750 km (one way) in the calculation.</t>
  </si>
  <si>
    <t>Fill in the average amount of people per CAR or TAXI on FOSSIL FUEL. When the average number of people per vehicle is unknown and this field is left open (important: do NOT fill in 0 or any other value/text if the data is unknown), the tool will use the average of 2 people per vehicle in the calculation.</t>
  </si>
  <si>
    <t>Fill in the average amount of people per ELECTRIC OR BIOFUEL CAR or TAXI. When the average number of people per vehicle is unknown and this field is left open (important: do NOT fill in 0 or any other value/text if the data is unknown), the tool will use the average of 2 people per vehicle in the calculation.</t>
  </si>
  <si>
    <t>Fill in the average amount of artists (and entourage) per ELECTRIC OR BIOFUEL CAR or TAXI. When the average number of people per vehicle is unknown and this field is left open (important: do NOT fill in 0 or any other value/text if the data is unknown), the tool will use the average of 2 people per vehicle in the calculation.</t>
  </si>
  <si>
    <t>Fill in the average amount of crew, volunteers and suppliers per CAR or TAXI on FOSSIL FUEL. When the average number of people per vehicle is unknown and this field is left open (important: do NOT fill in 0 or any other value/text if the data is unknown), the tool will use the average of 2 people per vehicle in the calculation.</t>
  </si>
  <si>
    <t>Fill in the average amount of crew, volunteers and suppliers per ELECTRIC OR BIOFUEL CAR or TAXI.When the average number of people per vehicle is unknown and this field is left open (important: do NOT fill in 0 or any other value/text if the data is unknown), the tool will use the average of 2 people per vehicle in the calculation.</t>
  </si>
  <si>
    <t>(sub-) Theme</t>
  </si>
  <si>
    <r>
      <t xml:space="preserve">This tool was developed by the </t>
    </r>
    <r>
      <rPr>
        <b/>
        <sz val="10"/>
        <color theme="1"/>
        <rFont val="Calibri"/>
        <family val="2"/>
        <scheme val="minor"/>
      </rPr>
      <t>Green Deal Circular Festivals (GDCF)</t>
    </r>
    <r>
      <rPr>
        <sz val="10"/>
        <color theme="1"/>
        <rFont val="Calibri"/>
        <family val="2"/>
        <scheme val="minor"/>
      </rPr>
      <t xml:space="preserve"> – a European collaboration of pioneering festivals, facilitated by the Dutch Ministry of Infrastructure and Water Management. This free tool brings together all the knowledge and experience gained throughout the GDCF journey (2019–2025). As the GDCF comes to an end, the tool continues its legacy by sharing insights with all interested parties. Above all, this tool helps festival and event organisers measure their </t>
    </r>
    <r>
      <rPr>
        <b/>
        <sz val="10"/>
        <color theme="1"/>
        <rFont val="Calibri"/>
        <family val="2"/>
        <scheme val="minor"/>
      </rPr>
      <t>climate impact</t>
    </r>
    <r>
      <rPr>
        <sz val="10"/>
        <color theme="1"/>
        <rFont val="Calibri"/>
        <family val="2"/>
        <scheme val="minor"/>
      </rPr>
      <t xml:space="preserve"> and </t>
    </r>
    <r>
      <rPr>
        <b/>
        <sz val="10"/>
        <color theme="1"/>
        <rFont val="Calibri"/>
        <family val="2"/>
        <scheme val="minor"/>
      </rPr>
      <t>circularity performance</t>
    </r>
    <r>
      <rPr>
        <sz val="10"/>
        <color theme="1"/>
        <rFont val="Calibri"/>
        <family val="2"/>
        <scheme val="minor"/>
      </rPr>
      <t xml:space="preserve">. Measuring is essential to identify where change is needed, track progress, and make data-driven decisions towards truly sustainable events.
Below, the different parts of this tool are described. For further instructions on how to use the tool, please refer to the accompanying User Guide. Good luck with data collection, filling the input sheet and interpreting your results. We hope this tool will help you in your journey towards a </t>
    </r>
    <r>
      <rPr>
        <b/>
        <sz val="10"/>
        <color theme="1"/>
        <rFont val="Calibri"/>
        <family val="2"/>
        <scheme val="minor"/>
      </rPr>
      <t xml:space="preserve">climate neutral </t>
    </r>
    <r>
      <rPr>
        <sz val="10"/>
        <color theme="1"/>
        <rFont val="Calibri"/>
        <family val="2"/>
        <scheme val="minor"/>
      </rPr>
      <t>and</t>
    </r>
    <r>
      <rPr>
        <b/>
        <sz val="10"/>
        <color theme="1"/>
        <rFont val="Calibri"/>
        <family val="2"/>
        <scheme val="minor"/>
      </rPr>
      <t xml:space="preserve"> circular </t>
    </r>
    <r>
      <rPr>
        <sz val="10"/>
        <color theme="1"/>
        <rFont val="Calibri"/>
        <family val="2"/>
        <scheme val="minor"/>
      </rPr>
      <t>event.
Onward!</t>
    </r>
  </si>
  <si>
    <t>The input sheet is ordered according to 'Themes' (column B). Every theme has its own color. The Themes are ordered in sub themes.
In the 'Indicator' column (column C) the required data is specified, it describes the data which needs to be filled in the 'Data' column (column D).</t>
  </si>
  <si>
    <t>If the data is unknown, please leave the data box blank and use the 'No data source' option in the 'Data info' column. If the requested data is not applicable to your specific event, leave the data box blank and use the 'Not applicable' option. If a data value is zero, fill in 0.</t>
  </si>
  <si>
    <t>The 'Format' column (E) specifies the requested unit or 'format' of the data to be filled in the 'Data' column; e.g. kg, km, liter, etc.. You can use the 'Data info' column (D) to specify the data source and quality. It is recommended (for review and archival purposes) to enter this information for ALL rows in the sheet. The 'Comments' column (G) can be filled in if specification of certain data is needed or adds context. In 'What should be filled in…' column (H) additional information is provided about what data is requested in the 'Question' column.</t>
  </si>
  <si>
    <t>Single-use</t>
  </si>
  <si>
    <t>Biobased/recycled</t>
  </si>
  <si>
    <t>Materials cups, tableware, cutlery</t>
  </si>
  <si>
    <t>Materials end-of-life</t>
  </si>
  <si>
    <t>See EF-background info</t>
  </si>
  <si>
    <t>Always fill in the boxes in the 'Data' column (D). It is better - if at all reasonably possible - to make an educated guess, than to fill in nothing. This applies ESPECIALLY to the rows with red, circled boxes with bold text (rows 18-19 and 30-44). These are essential for the the tool work.</t>
  </si>
  <si>
    <r>
      <t xml:space="preserve">Red, circled boxes with </t>
    </r>
    <r>
      <rPr>
        <b/>
        <sz val="12"/>
        <color theme="1"/>
        <rFont val="Calibri"/>
        <family val="2"/>
      </rPr>
      <t>bold text</t>
    </r>
    <r>
      <rPr>
        <sz val="12"/>
        <color theme="1"/>
        <rFont val="Calibri"/>
        <family val="2"/>
      </rPr>
      <t xml:space="preserve"> indicate rows which are absolutely </t>
    </r>
    <r>
      <rPr>
        <b/>
        <sz val="12"/>
        <color theme="1"/>
        <rFont val="Calibri"/>
        <family val="2"/>
      </rPr>
      <t>essential for the correct and complete functioning of this tool</t>
    </r>
    <r>
      <rPr>
        <sz val="12"/>
        <color theme="1"/>
        <rFont val="Calibri"/>
        <family val="2"/>
      </rPr>
      <t xml:space="preserve"> (these numbers are used in all calculations). Make sure to enter data in these rows.</t>
    </r>
  </si>
  <si>
    <t>IMPORTANT: If these fields do not show the results as expected, make sure that you have refreshed this sheet (see instructions on top of this page)
and that ALL red marked cells in the Input Sheet Tab (rows 18-19 and 30-44) are filled in. Either with data, or with 0 if applicable.</t>
  </si>
  <si>
    <t>Synthetic textile (virgin)</t>
  </si>
  <si>
    <t>Synthetic textile (recycled)</t>
  </si>
  <si>
    <t>Bio-based textile (virgin)</t>
  </si>
  <si>
    <t>Bio-based textile (recycled)</t>
  </si>
  <si>
    <t>Based on emission factor for polyester fabrics</t>
  </si>
  <si>
    <t>Based on emission factor for cotton fabrics</t>
  </si>
  <si>
    <t>Based on emission factor for polyester fabrics, woven, cradle-to-gate</t>
  </si>
  <si>
    <t>Based on emission factor for cotton fabrics, woven, cradle-to-gate</t>
  </si>
  <si>
    <t>Assuming 67% reduction compared to virgin</t>
  </si>
  <si>
    <t>Assuming 71% reduction compared to virgin</t>
  </si>
  <si>
    <r>
      <t xml:space="preserve">Green Deal Circular Festivals Monitoring Tool
</t>
    </r>
    <r>
      <rPr>
        <i/>
        <sz val="12"/>
        <color theme="0"/>
        <rFont val="Calibri"/>
        <family val="2"/>
        <scheme val="minor"/>
      </rPr>
      <t>A Climate Impact &amp; Circularity Assessment Tool for Festivals</t>
    </r>
  </si>
  <si>
    <t>version 1.0
July 2026</t>
  </si>
  <si>
    <t>Version 1.0</t>
  </si>
  <si>
    <t>Manual for GDCF Monitoring Tool</t>
  </si>
  <si>
    <t>Input sheet: Green Deal Circular Festivals Monitoring Tool</t>
  </si>
  <si>
    <t>The Green Deal Circular Festivals Monitoring Tool was developed by Haskoning and Lab Vlieland, with contributions from the GDCF Monitor Working Group and participating festivals. The Monitoring Tool builds on prior work in the field, including A Greener Future's Assessment Framework, the Festival Material Flow Analysis developed by DGTL and Metabolic, and the Environment-i-meter developed by Lab Vlieland in collaboration with Utrecht University. The development of the Monitoring Tool was informed by the principles of the Greenhouse Gas Protocol.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</si>
</sst>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0.0"/>
    <numFmt numFmtId="166" formatCode="0.0%"/>
    <numFmt numFmtId="167" formatCode="_ * #,##0_ ;_ * \-#,##0_ ;_ * &quot;-&quot;??_ ;_ @_ "/>
    <numFmt numFmtId="168" formatCode="_ * #,##0.0_ ;_ * \-#,##0.0_ ;_ * &quot;-&quot;??_ ;_ @_ "/>
    <numFmt numFmtId="169" formatCode="_ * #,##0.000_ ;_ * \-#,##0.000_ ;_ * &quot;-&quot;??_ ;_ @_ "/>
    <numFmt numFmtId="170" formatCode="0.000"/>
    <numFmt numFmtId="171" formatCode="_ * #,##0.000_ ;_ * \-#,##0.000_ ;_ * &quot;-&quot;???_ ;_ @_ "/>
    <numFmt numFmtId="172" formatCode="_ * #,##0.00000_ ;_ * \-#,##0.00000_ ;_ * &quot;-&quot;??_ ;_ @_ "/>
    <numFmt numFmtId="173" formatCode="_ * #,##0.0000_ ;_ * \-#,##0.0000_ ;_ * &quot;-&quot;??_ ;_ @_ "/>
    <numFmt numFmtId="174" formatCode="_ * #,##0.0000_ ;_ * \-#,##0.0000_ ;_ * &quot;-&quot;????_ ;_ @_ "/>
    <numFmt numFmtId="175" formatCode="_-* #,##0_-;\-* #,##0_-;_-* &quot;-&quot;??_-;_-@_-"/>
    <numFmt numFmtId="176" formatCode="[$-F800]dddd\,\ mmmm\ dd\,\ yyyy"/>
  </numFmts>
  <fonts count="199">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b/>
      <sz val="26"/>
      <color theme="0"/>
      <name val="Calibri"/>
      <family val="2"/>
    </font>
    <font>
      <sz val="12"/>
      <color theme="1"/>
      <name val="Calibri"/>
      <family val="2"/>
    </font>
    <font>
      <i/>
      <sz val="10"/>
      <color rgb="FF7F7F7F"/>
      <name val="Arial"/>
      <family val="2"/>
    </font>
    <font>
      <sz val="12"/>
      <color rgb="FF000000"/>
      <name val="Calibri"/>
      <family val="2"/>
    </font>
    <font>
      <i/>
      <sz val="12"/>
      <color rgb="FF7F7F7F"/>
      <name val="Calibri"/>
      <family val="2"/>
    </font>
    <font>
      <b/>
      <sz val="13"/>
      <color theme="1"/>
      <name val="Calibri"/>
      <family val="2"/>
    </font>
    <font>
      <b/>
      <sz val="12"/>
      <color theme="1"/>
      <name val="Calibri"/>
      <family val="2"/>
    </font>
    <font>
      <b/>
      <sz val="12"/>
      <color theme="0"/>
      <name val="Calibri"/>
      <family val="2"/>
    </font>
    <font>
      <sz val="12"/>
      <color rgb="FF7F7F7F"/>
      <name val="Calibri"/>
      <family val="2"/>
    </font>
    <font>
      <sz val="12"/>
      <color theme="0"/>
      <name val="Calibri"/>
      <family val="2"/>
    </font>
    <font>
      <i/>
      <sz val="12"/>
      <color theme="0"/>
      <name val="Calibri"/>
      <family val="2"/>
    </font>
    <font>
      <b/>
      <sz val="14"/>
      <color theme="1"/>
      <name val="Calibri"/>
      <family val="2"/>
    </font>
    <font>
      <sz val="12"/>
      <color theme="1"/>
      <name val="Calibri"/>
      <family val="2"/>
      <scheme val="minor"/>
    </font>
    <font>
      <sz val="12"/>
      <color theme="1"/>
      <name val="Calibri"/>
      <family val="2"/>
      <scheme val="minor"/>
    </font>
    <font>
      <b/>
      <sz val="12"/>
      <color theme="1"/>
      <name val="Calibri"/>
      <family val="2"/>
      <scheme val="minor"/>
    </font>
    <font>
      <sz val="16"/>
      <color theme="0"/>
      <name val="Calibri"/>
      <family val="2"/>
      <scheme val="minor"/>
    </font>
    <font>
      <b/>
      <sz val="16"/>
      <color theme="0"/>
      <name val="Calibri"/>
      <family val="2"/>
      <scheme val="minor"/>
    </font>
    <font>
      <b/>
      <sz val="14"/>
      <color theme="0"/>
      <name val="Calibri"/>
      <family val="2"/>
    </font>
    <font>
      <b/>
      <sz val="14"/>
      <color theme="1" tint="0.34998626667073579"/>
      <name val="Calibri"/>
      <family val="2"/>
    </font>
    <font>
      <b/>
      <sz val="12"/>
      <color theme="1" tint="0.34998626667073579"/>
      <name val="Calibri"/>
      <family val="2"/>
    </font>
    <font>
      <b/>
      <sz val="12"/>
      <color rgb="FFFFFFFF"/>
      <name val="Calibri"/>
      <family val="2"/>
    </font>
    <font>
      <b/>
      <sz val="14"/>
      <color rgb="FFFFFFFF"/>
      <name val="Calibri"/>
      <family val="2"/>
    </font>
    <font>
      <i/>
      <sz val="12"/>
      <color rgb="FF7F7F7F"/>
      <name val="Arial"/>
      <family val="2"/>
    </font>
    <font>
      <sz val="14"/>
      <color theme="1"/>
      <name val="Calibri (Hoofdtekst)_x0000_"/>
    </font>
    <font>
      <sz val="14"/>
      <color rgb="FF7F7F7F"/>
      <name val="Calibri (Hoofdtekst)_x0000_"/>
    </font>
    <font>
      <sz val="14"/>
      <color rgb="FF000000"/>
      <name val="Calibri (Hoofdtekst)_x0000_"/>
    </font>
    <font>
      <i/>
      <sz val="14"/>
      <color rgb="FF7F7F7F"/>
      <name val="Calibri (Hoofdtekst)_x0000_"/>
    </font>
    <font>
      <b/>
      <sz val="14"/>
      <color rgb="FF7F7F7F"/>
      <name val="Calibri (Hoofdtekst)_x0000_"/>
    </font>
    <font>
      <sz val="18"/>
      <color theme="1"/>
      <name val="Calibri (Hoofdtekst)_x0000_"/>
    </font>
    <font>
      <b/>
      <sz val="18"/>
      <color rgb="FFFFFFFF"/>
      <name val="Calibri (Hoofdtekst)_x0000_"/>
    </font>
    <font>
      <sz val="18"/>
      <color theme="0"/>
      <name val="Calibri (Hoofdtekst)_x0000_"/>
    </font>
    <font>
      <sz val="18"/>
      <color rgb="FF000000"/>
      <name val="Calibri (Hoofdtekst)_x0000_"/>
    </font>
    <font>
      <i/>
      <sz val="18"/>
      <color rgb="FF7F7F7F"/>
      <name val="Calibri (Hoofdtekst)_x0000_"/>
    </font>
    <font>
      <sz val="16"/>
      <color theme="1"/>
      <name val="Calibri"/>
      <family val="2"/>
      <scheme val="minor"/>
    </font>
    <font>
      <sz val="16"/>
      <color rgb="FF7F7F7F"/>
      <name val="Calibri"/>
      <family val="2"/>
      <scheme val="minor"/>
    </font>
    <font>
      <sz val="16"/>
      <color rgb="FF000000"/>
      <name val="Calibri"/>
      <family val="2"/>
      <scheme val="minor"/>
    </font>
    <font>
      <sz val="18"/>
      <color rgb="FFFFFFFF"/>
      <name val="Calibri (Hoofdtekst)_x0000_"/>
    </font>
    <font>
      <sz val="18"/>
      <color rgb="FF7F7F7F"/>
      <name val="Calibri (Hoofdtekst)_x0000_"/>
    </font>
    <font>
      <sz val="16"/>
      <color theme="1"/>
      <name val="Calibri (Hoofdtekst)_x0000_"/>
    </font>
    <font>
      <i/>
      <sz val="16"/>
      <color rgb="FF7F7F7F"/>
      <name val="Calibri (Hoofdtekst)_x0000_"/>
    </font>
    <font>
      <b/>
      <sz val="16"/>
      <color theme="1" tint="0.34998626667073579"/>
      <name val="Calibri (Hoofdtekst)_x0000_"/>
    </font>
    <font>
      <sz val="18"/>
      <color theme="1"/>
      <name val="Calibri"/>
      <family val="2"/>
      <scheme val="minor"/>
    </font>
    <font>
      <b/>
      <sz val="18"/>
      <color theme="0"/>
      <name val="Calibri"/>
      <family val="2"/>
    </font>
    <font>
      <sz val="18"/>
      <color theme="1"/>
      <name val="Calibri"/>
      <family val="2"/>
    </font>
    <font>
      <i/>
      <sz val="18"/>
      <color rgb="FF7F7F7F"/>
      <name val="Arial"/>
      <family val="2"/>
    </font>
    <font>
      <b/>
      <sz val="16"/>
      <color theme="1" tint="0.34998626667073579"/>
      <name val="Calibri"/>
      <family val="2"/>
      <scheme val="minor"/>
    </font>
    <font>
      <b/>
      <sz val="14"/>
      <color theme="1" tint="0.34998626667073579"/>
      <name val="Calibri (Hoofdtekst)_x0000_"/>
    </font>
    <font>
      <sz val="16"/>
      <color rgb="FF000000"/>
      <name val="Calibri (Hoofdtekst)_x0000_"/>
    </font>
    <font>
      <sz val="16"/>
      <color rgb="FF7F7F7F"/>
      <name val="Calibri (Hoofdtekst)_x0000_"/>
    </font>
    <font>
      <b/>
      <sz val="18"/>
      <color theme="1" tint="0.34998626667073579"/>
      <name val="Calibri (Hoofdtekst)_x0000_"/>
    </font>
    <font>
      <sz val="16"/>
      <color theme="0"/>
      <name val="Calibri (Hoofdtekst)_x0000_"/>
    </font>
    <font>
      <i/>
      <sz val="16"/>
      <color theme="0"/>
      <name val="Calibri (Hoofdtekst)_x0000_"/>
    </font>
    <font>
      <i/>
      <sz val="18"/>
      <color theme="0"/>
      <name val="Calibri (Hoofdtekst)_x0000_"/>
    </font>
    <font>
      <b/>
      <sz val="18"/>
      <color theme="1" tint="0.249977111117893"/>
      <name val="Calibri"/>
      <family val="2"/>
      <scheme val="minor"/>
    </font>
    <font>
      <b/>
      <sz val="18"/>
      <color theme="0"/>
      <name val="Calibri (Hoofdtekst)_x0000_"/>
    </font>
    <font>
      <b/>
      <sz val="16"/>
      <color theme="0"/>
      <name val="Calibri (Hoofdtekst)_x0000_"/>
    </font>
    <font>
      <b/>
      <sz val="18"/>
      <color theme="1"/>
      <name val="Calibri (Hoofdtekst)_x0000_"/>
    </font>
    <font>
      <b/>
      <sz val="18"/>
      <color rgb="FF000000"/>
      <name val="Calibri (Hoofdtekst)_x0000_"/>
    </font>
    <font>
      <sz val="14"/>
      <color theme="0"/>
      <name val="Calibri"/>
      <family val="2"/>
      <scheme val="minor"/>
    </font>
    <font>
      <i/>
      <sz val="14"/>
      <color theme="0"/>
      <name val="Calibri"/>
      <family val="2"/>
      <scheme val="minor"/>
    </font>
    <font>
      <i/>
      <sz val="16"/>
      <color theme="0"/>
      <name val="Calibri"/>
      <family val="2"/>
      <scheme val="minor"/>
    </font>
    <font>
      <i/>
      <sz val="12"/>
      <name val="Calibri"/>
      <family val="2"/>
    </font>
    <font>
      <b/>
      <i/>
      <sz val="12"/>
      <name val="Calibri"/>
      <family val="2"/>
    </font>
    <font>
      <sz val="12"/>
      <color theme="0"/>
      <name val="Calibri"/>
      <family val="2"/>
      <scheme val="minor"/>
    </font>
    <font>
      <i/>
      <sz val="11.65"/>
      <color rgb="FF000000"/>
      <name val="Calibri"/>
      <family val="2"/>
    </font>
    <font>
      <i/>
      <sz val="12"/>
      <color theme="0" tint="-0.499984740745262"/>
      <name val="Calibri"/>
      <family val="2"/>
      <scheme val="minor"/>
    </font>
    <font>
      <b/>
      <i/>
      <sz val="12"/>
      <color rgb="FF7F7F7F"/>
      <name val="Calibri"/>
      <family val="2"/>
    </font>
    <font>
      <sz val="12"/>
      <color theme="1"/>
      <name val="Calibri"/>
      <family val="2"/>
      <scheme val="minor"/>
    </font>
    <font>
      <b/>
      <sz val="18"/>
      <color rgb="FFFFFFFF"/>
      <name val="Calibri"/>
      <family val="2"/>
      <scheme val="minor"/>
    </font>
    <font>
      <b/>
      <sz val="12"/>
      <color rgb="FFFFFFFF"/>
      <name val="Calibri"/>
      <family val="2"/>
      <scheme val="minor"/>
    </font>
    <font>
      <b/>
      <sz val="16"/>
      <color rgb="FFFFFFFF"/>
      <name val="Calibri"/>
      <family val="2"/>
      <scheme val="minor"/>
    </font>
    <font>
      <b/>
      <sz val="12"/>
      <color rgb="FF000000"/>
      <name val="Calibri"/>
      <family val="2"/>
      <scheme val="minor"/>
    </font>
    <font>
      <b/>
      <sz val="16"/>
      <color rgb="FF595959"/>
      <name val="Calibri"/>
      <family val="2"/>
      <scheme val="minor"/>
    </font>
    <font>
      <b/>
      <sz val="18"/>
      <color rgb="FF595959"/>
      <name val="Calibri"/>
      <family val="2"/>
      <scheme val="minor"/>
    </font>
    <font>
      <sz val="14"/>
      <color rgb="FF000000"/>
      <name val="Calibri"/>
      <family val="2"/>
      <scheme val="minor"/>
    </font>
    <font>
      <b/>
      <sz val="14"/>
      <color rgb="FF595959"/>
      <name val="Calibri"/>
      <family val="2"/>
      <scheme val="minor"/>
    </font>
    <font>
      <sz val="14"/>
      <color rgb="FF595959"/>
      <name val="Calibri"/>
      <family val="2"/>
      <scheme val="minor"/>
    </font>
    <font>
      <b/>
      <sz val="14"/>
      <color rgb="FF7F7F7F"/>
      <name val="Calibri"/>
      <family val="2"/>
      <scheme val="minor"/>
    </font>
    <font>
      <b/>
      <i/>
      <sz val="12"/>
      <color rgb="FFFFFFFF"/>
      <name val="Calibri"/>
      <family val="2"/>
    </font>
    <font>
      <b/>
      <sz val="22"/>
      <color rgb="FFFFFFFF"/>
      <name val="Calibri"/>
      <family val="2"/>
      <scheme val="minor"/>
    </font>
    <font>
      <b/>
      <sz val="22"/>
      <color rgb="FF595959"/>
      <name val="Calibri"/>
      <family val="2"/>
      <scheme val="minor"/>
    </font>
    <font>
      <b/>
      <sz val="22"/>
      <color rgb="FF7F7F7F"/>
      <name val="Calibri"/>
      <family val="2"/>
      <scheme val="minor"/>
    </font>
    <font>
      <sz val="12"/>
      <name val="Calibri"/>
      <family val="2"/>
    </font>
    <font>
      <i/>
      <sz val="14"/>
      <color theme="0"/>
      <name val="Calibri (Hoofdtekst)_x0000_"/>
    </font>
    <font>
      <sz val="16"/>
      <color theme="8" tint="0.79998168889431442"/>
      <name val="Calibri (Hoofdtekst)_x0000_"/>
    </font>
    <font>
      <i/>
      <sz val="16"/>
      <color theme="8" tint="0.79998168889431442"/>
      <name val="Calibri (Hoofdtekst)_x0000_"/>
    </font>
    <font>
      <b/>
      <sz val="12"/>
      <color theme="0"/>
      <name val="Calibri"/>
      <family val="2"/>
      <scheme val="minor"/>
    </font>
    <font>
      <i/>
      <sz val="12"/>
      <color rgb="FF7F7F7F"/>
      <name val="Calibri"/>
      <family val="2"/>
      <scheme val="minor"/>
    </font>
    <font>
      <b/>
      <sz val="22"/>
      <color theme="0"/>
      <name val="Calibri"/>
      <family val="2"/>
      <scheme val="minor"/>
    </font>
    <font>
      <b/>
      <sz val="14"/>
      <color theme="1" tint="0.34998626667073579"/>
      <name val="Calibri"/>
      <family val="2"/>
      <scheme val="minor"/>
    </font>
    <font>
      <b/>
      <sz val="18"/>
      <color theme="1" tint="0.34998626667073579"/>
      <name val="Calibri"/>
      <family val="2"/>
      <scheme val="minor"/>
    </font>
    <font>
      <b/>
      <sz val="12"/>
      <color theme="1" tint="0.34998626667073579"/>
      <name val="Calibri"/>
      <family val="2"/>
      <scheme val="minor"/>
    </font>
    <font>
      <b/>
      <sz val="14"/>
      <color rgb="FFFFFFFF"/>
      <name val="Calibri"/>
      <family val="2"/>
      <scheme val="minor"/>
    </font>
    <font>
      <b/>
      <sz val="14"/>
      <color theme="0"/>
      <name val="Calibri"/>
      <family val="2"/>
      <scheme val="minor"/>
    </font>
    <font>
      <sz val="14"/>
      <color theme="1"/>
      <name val="Calibri"/>
      <family val="2"/>
      <scheme val="minor"/>
    </font>
    <font>
      <b/>
      <sz val="12"/>
      <color rgb="FF7F7F7F"/>
      <name val="Calibri"/>
      <family val="2"/>
      <scheme val="minor"/>
    </font>
    <font>
      <b/>
      <sz val="22"/>
      <color theme="1" tint="0.34998626667073579"/>
      <name val="Calibri"/>
      <family val="2"/>
      <scheme val="minor"/>
    </font>
    <font>
      <i/>
      <sz val="12"/>
      <color theme="1"/>
      <name val="Calibri"/>
      <family val="2"/>
      <scheme val="minor"/>
    </font>
    <font>
      <sz val="11"/>
      <color rgb="FF000000"/>
      <name val="Calibri"/>
      <family val="2"/>
      <scheme val="minor"/>
    </font>
    <font>
      <b/>
      <sz val="11"/>
      <color rgb="FF000000"/>
      <name val="Calibri"/>
      <family val="2"/>
      <scheme val="minor"/>
    </font>
    <font>
      <b/>
      <sz val="26"/>
      <color theme="0"/>
      <name val="Calibri"/>
      <family val="2"/>
      <scheme val="minor"/>
    </font>
    <font>
      <sz val="14"/>
      <color rgb="FFFFFFFF"/>
      <name val="Calibri"/>
      <family val="2"/>
      <scheme val="minor"/>
    </font>
    <font>
      <sz val="12"/>
      <color rgb="FFFFFFFF"/>
      <name val="Calibri"/>
      <family val="2"/>
      <scheme val="minor"/>
    </font>
    <font>
      <sz val="12"/>
      <color rgb="FF000000"/>
      <name val="Calibri"/>
      <family val="2"/>
      <scheme val="minor"/>
    </font>
    <font>
      <b/>
      <sz val="18"/>
      <color rgb="FF404040"/>
      <name val="Calibri"/>
      <family val="2"/>
      <scheme val="minor"/>
    </font>
    <font>
      <b/>
      <sz val="14"/>
      <color theme="0"/>
      <name val="Calibri (Hoofdtekst)_x0000_"/>
    </font>
    <font>
      <sz val="14"/>
      <color theme="1" tint="0.34998626667073579"/>
      <name val="Calibri"/>
      <family val="2"/>
      <scheme val="minor"/>
    </font>
    <font>
      <b/>
      <sz val="22"/>
      <color theme="1" tint="0.249977111117893"/>
      <name val="Calibri"/>
      <family val="2"/>
      <scheme val="minor"/>
    </font>
    <font>
      <i/>
      <sz val="12"/>
      <color rgb="FF000000"/>
      <name val="Calibri"/>
      <family val="2"/>
    </font>
    <font>
      <b/>
      <sz val="22"/>
      <color rgb="FF000000"/>
      <name val="Calibri"/>
      <family val="2"/>
      <scheme val="minor"/>
    </font>
    <font>
      <sz val="11"/>
      <color rgb="FFFF0000"/>
      <name val="Calibri"/>
      <family val="2"/>
      <scheme val="minor"/>
    </font>
    <font>
      <i/>
      <sz val="12"/>
      <name val="Calibri"/>
      <family val="2"/>
      <scheme val="minor"/>
    </font>
    <font>
      <b/>
      <sz val="11"/>
      <color theme="1"/>
      <name val="Calibri"/>
      <family val="2"/>
      <scheme val="minor"/>
    </font>
    <font>
      <b/>
      <sz val="18"/>
      <color theme="0"/>
      <name val="Calibri"/>
      <family val="2"/>
      <scheme val="minor"/>
    </font>
    <font>
      <sz val="11"/>
      <color theme="1" tint="0.34998626667073579"/>
      <name val="Calibri"/>
      <family val="2"/>
      <scheme val="minor"/>
    </font>
    <font>
      <i/>
      <sz val="11"/>
      <color theme="1"/>
      <name val="Calibri"/>
      <family val="2"/>
      <scheme val="minor"/>
    </font>
    <font>
      <b/>
      <i/>
      <sz val="12"/>
      <color rgb="FF000000"/>
      <name val="Calibri"/>
      <family val="2"/>
      <scheme val="minor"/>
    </font>
    <font>
      <i/>
      <sz val="12"/>
      <color rgb="FFFFFFFF"/>
      <name val="Calibri"/>
      <family val="2"/>
      <scheme val="minor"/>
    </font>
    <font>
      <b/>
      <i/>
      <sz val="12"/>
      <color rgb="FF000000"/>
      <name val="Calibri"/>
      <family val="2"/>
    </font>
    <font>
      <sz val="14"/>
      <color theme="0"/>
      <name val="Calibri (Hoofdtekst)_x0000_"/>
    </font>
    <font>
      <sz val="16"/>
      <color theme="0"/>
      <name val="Calibri"/>
      <family val="2"/>
    </font>
    <font>
      <b/>
      <sz val="11"/>
      <color theme="0"/>
      <name val="Calibri"/>
      <family val="2"/>
      <scheme val="minor"/>
    </font>
    <font>
      <sz val="11"/>
      <color theme="0"/>
      <name val="Calibri"/>
      <family val="2"/>
      <scheme val="minor"/>
    </font>
    <font>
      <u/>
      <sz val="12"/>
      <color theme="10"/>
      <name val="Calibri"/>
      <family val="2"/>
      <scheme val="minor"/>
    </font>
    <font>
      <b/>
      <sz val="11"/>
      <color rgb="FF02486F"/>
      <name val="Calibri"/>
      <family val="2"/>
      <scheme val="minor"/>
    </font>
    <font>
      <sz val="11"/>
      <color rgb="FF02486F"/>
      <name val="Calibri"/>
      <family val="2"/>
      <scheme val="minor"/>
    </font>
    <font>
      <sz val="20"/>
      <color theme="1"/>
      <name val="Calibri"/>
      <family val="2"/>
      <scheme val="minor"/>
    </font>
    <font>
      <sz val="11"/>
      <color rgb="FF000000"/>
      <name val="Calibri"/>
      <family val="2"/>
    </font>
    <font>
      <sz val="12"/>
      <name val="Calibri"/>
      <family val="2"/>
      <scheme val="minor"/>
    </font>
    <font>
      <sz val="11"/>
      <name val="Calibri"/>
      <family val="2"/>
      <scheme val="minor"/>
    </font>
    <font>
      <b/>
      <sz val="12"/>
      <name val="Calibri"/>
      <family val="2"/>
      <scheme val="minor"/>
    </font>
    <font>
      <b/>
      <sz val="11"/>
      <name val="Calibri"/>
      <family val="2"/>
    </font>
    <font>
      <sz val="8"/>
      <name val="Calibri"/>
      <family val="2"/>
      <scheme val="minor"/>
    </font>
    <font>
      <b/>
      <sz val="8"/>
      <color theme="0"/>
      <name val="Calibri"/>
      <family val="2"/>
      <scheme val="minor"/>
    </font>
    <font>
      <u/>
      <sz val="12"/>
      <color theme="10"/>
      <name val="Calibri"/>
      <family val="2"/>
      <scheme val="minor"/>
    </font>
    <font>
      <b/>
      <sz val="18"/>
      <color theme="1"/>
      <name val="Calibri"/>
      <family val="2"/>
      <scheme val="minor"/>
    </font>
    <font>
      <b/>
      <sz val="12"/>
      <color theme="1" tint="0.34998626667073579"/>
      <name val="Calibri (Hoofdtekst)_x0000_"/>
    </font>
    <font>
      <b/>
      <sz val="14"/>
      <color theme="1"/>
      <name val="Calibri"/>
      <family val="2"/>
      <scheme val="minor"/>
    </font>
    <font>
      <b/>
      <sz val="14"/>
      <color theme="1" tint="0.249977111117893"/>
      <name val="Calibri"/>
      <family val="2"/>
      <scheme val="minor"/>
    </font>
    <font>
      <b/>
      <sz val="14"/>
      <color rgb="FFFFFFFF"/>
      <name val="Calibri (Hoofdtekst)_x0000_"/>
    </font>
    <font>
      <b/>
      <sz val="12"/>
      <color rgb="FFFFFFFF"/>
      <name val="Calibri (Hoofdtekst)_x0000_"/>
    </font>
    <font>
      <b/>
      <sz val="11"/>
      <color theme="1" tint="0.249977111117893"/>
      <name val="Calibri"/>
      <family val="2"/>
      <scheme val="minor"/>
    </font>
    <font>
      <b/>
      <sz val="12"/>
      <color theme="0"/>
      <name val="Calibri (Hoofdtekst)_x0000_"/>
    </font>
    <font>
      <b/>
      <sz val="14"/>
      <color theme="2"/>
      <name val="Calibri (Hoofdtekst)_x0000_"/>
    </font>
    <font>
      <b/>
      <sz val="12"/>
      <color theme="2"/>
      <name val="Calibri (Hoofdtekst)_x0000_"/>
    </font>
    <font>
      <b/>
      <sz val="12"/>
      <color theme="2"/>
      <name val="Calibri"/>
      <family val="2"/>
      <scheme val="minor"/>
    </font>
    <font>
      <b/>
      <sz val="18"/>
      <color theme="1" tint="0.249977111117893"/>
      <name val="Calibri (Hoofdtekst)_x0000_"/>
    </font>
    <font>
      <b/>
      <sz val="20"/>
      <color theme="0"/>
      <name val="Calibri"/>
      <family val="2"/>
      <scheme val="minor"/>
    </font>
    <font>
      <sz val="11"/>
      <color rgb="FFFFFFFF"/>
      <name val="Calibri"/>
      <family val="2"/>
      <scheme val="minor"/>
    </font>
    <font>
      <sz val="20"/>
      <color theme="0"/>
      <name val="Calibri"/>
      <family val="2"/>
      <scheme val="minor"/>
    </font>
    <font>
      <sz val="18"/>
      <color theme="0"/>
      <name val="Calibri"/>
      <family val="2"/>
      <scheme val="minor"/>
    </font>
    <font>
      <b/>
      <sz val="36"/>
      <color theme="0"/>
      <name val="Calibri"/>
      <family val="2"/>
      <scheme val="minor"/>
    </font>
    <font>
      <sz val="22"/>
      <color theme="0"/>
      <name val="Calibri"/>
      <family val="2"/>
      <scheme val="minor"/>
    </font>
    <font>
      <sz val="11"/>
      <name val="Calibri"/>
      <family val="2"/>
    </font>
    <font>
      <b/>
      <sz val="18"/>
      <name val="Calibri"/>
      <family val="2"/>
      <scheme val="minor"/>
    </font>
    <font>
      <b/>
      <sz val="22"/>
      <name val="Calibri"/>
      <family val="2"/>
      <scheme val="minor"/>
    </font>
    <font>
      <sz val="18"/>
      <name val="Calibri"/>
      <family val="2"/>
      <scheme val="minor"/>
    </font>
    <font>
      <b/>
      <sz val="20"/>
      <name val="Calibri"/>
      <family val="2"/>
      <scheme val="minor"/>
    </font>
    <font>
      <u/>
      <sz val="18"/>
      <name val="Calibri"/>
      <family val="2"/>
      <scheme val="minor"/>
    </font>
    <font>
      <i/>
      <sz val="20"/>
      <color theme="0"/>
      <name val="Calibri"/>
      <family val="2"/>
      <scheme val="minor"/>
    </font>
    <font>
      <b/>
      <sz val="22"/>
      <color rgb="FFFF0000"/>
      <name val="Calibri"/>
      <family val="2"/>
      <scheme val="minor"/>
    </font>
    <font>
      <sz val="12"/>
      <color rgb="FFFF0000"/>
      <name val="Calibri"/>
      <family val="2"/>
      <scheme val="minor"/>
    </font>
    <font>
      <sz val="18"/>
      <color rgb="FFFF0000"/>
      <name val="Calibri"/>
      <family val="2"/>
      <scheme val="minor"/>
    </font>
    <font>
      <u/>
      <sz val="18"/>
      <color rgb="FFFF0000"/>
      <name val="Calibri"/>
      <family val="2"/>
      <scheme val="minor"/>
    </font>
    <font>
      <b/>
      <sz val="18"/>
      <color rgb="FFFF0000"/>
      <name val="Calibri"/>
      <family val="2"/>
      <scheme val="minor"/>
    </font>
    <font>
      <b/>
      <sz val="20"/>
      <color rgb="FFFF0000"/>
      <name val="Calibri"/>
      <family val="2"/>
      <scheme val="minor"/>
    </font>
    <font>
      <i/>
      <sz val="12"/>
      <color theme="0"/>
      <name val="Calibri"/>
      <family val="2"/>
      <scheme val="minor"/>
    </font>
    <font>
      <sz val="10"/>
      <color theme="1"/>
      <name val="Calibri"/>
      <family val="2"/>
      <scheme val="minor"/>
    </font>
    <font>
      <b/>
      <sz val="10"/>
      <color theme="1"/>
      <name val="Calibri"/>
      <family val="2"/>
      <scheme val="minor"/>
    </font>
    <font>
      <sz val="11"/>
      <color rgb="FF3F3F76"/>
      <name val="Calibri"/>
      <family val="2"/>
      <scheme val="minor"/>
    </font>
    <font>
      <b/>
      <i/>
      <sz val="20"/>
      <color theme="0"/>
      <name val="Calibri"/>
      <family val="2"/>
      <scheme val="minor"/>
    </font>
    <font>
      <b/>
      <sz val="9"/>
      <color rgb="FF000000"/>
      <name val="Tahoma"/>
      <family val="2"/>
    </font>
    <font>
      <sz val="9"/>
      <color rgb="FF000000"/>
      <name val="Tahoma"/>
      <family val="2"/>
    </font>
    <font>
      <b/>
      <sz val="12"/>
      <color rgb="FF000000"/>
      <name val="Calibri"/>
      <family val="2"/>
    </font>
    <font>
      <sz val="10"/>
      <color rgb="FF000000"/>
      <name val="Calibri"/>
      <family val="2"/>
    </font>
    <font>
      <sz val="9"/>
      <color rgb="FF000000"/>
      <name val="Calibri"/>
      <family val="2"/>
    </font>
    <font>
      <sz val="10"/>
      <color rgb="FF000000"/>
      <name val="Tahoma"/>
      <family val="2"/>
    </font>
    <font>
      <b/>
      <sz val="10"/>
      <color rgb="FF000000"/>
      <name val="Tahoma"/>
      <family val="2"/>
    </font>
    <font>
      <b/>
      <sz val="20"/>
      <color theme="0"/>
      <name val="Calibri (Body)"/>
    </font>
    <font>
      <b/>
      <sz val="16"/>
      <color theme="0"/>
      <name val="Calibri (Body)"/>
    </font>
    <font>
      <sz val="9"/>
      <name val="Calibri"/>
      <family val="2"/>
      <scheme val="minor"/>
    </font>
  </fonts>
  <fills count="94">
    <fill>
      <patternFill patternType="none"/>
    </fill>
    <fill>
      <patternFill patternType="gray125"/>
    </fill>
    <fill>
      <patternFill patternType="solid">
        <fgColor rgb="FFA8D08D"/>
        <bgColor rgb="FFA8D08D"/>
      </patternFill>
    </fill>
    <fill>
      <patternFill patternType="solid">
        <fgColor theme="0"/>
        <bgColor theme="0"/>
      </patternFill>
    </fill>
    <fill>
      <patternFill patternType="solid">
        <fgColor rgb="FFFEF2CB"/>
        <bgColor rgb="FFFEF2CB"/>
      </patternFill>
    </fill>
    <fill>
      <patternFill patternType="solid">
        <fgColor rgb="FFFFE598"/>
        <bgColor rgb="FFFFE598"/>
      </patternFill>
    </fill>
    <fill>
      <patternFill patternType="solid">
        <fgColor rgb="FFE2EFD9"/>
        <bgColor rgb="FFE2EFD9"/>
      </patternFill>
    </fill>
    <fill>
      <patternFill patternType="solid">
        <fgColor theme="1"/>
        <bgColor theme="1"/>
      </patternFill>
    </fill>
    <fill>
      <patternFill patternType="solid">
        <fgColor rgb="FF000000"/>
        <bgColor rgb="FF000000"/>
      </patternFill>
    </fill>
    <fill>
      <patternFill patternType="solid">
        <fgColor rgb="FF3F3F3F"/>
        <bgColor rgb="FF3F3F3F"/>
      </patternFill>
    </fill>
    <fill>
      <patternFill patternType="solid">
        <fgColor rgb="FFA3C4C9"/>
        <bgColor rgb="FFA3C4C9"/>
      </patternFill>
    </fill>
    <fill>
      <patternFill patternType="solid">
        <fgColor rgb="FFA2C4C9"/>
        <bgColor rgb="FFA2C4C9"/>
      </patternFill>
    </fill>
    <fill>
      <patternFill patternType="solid">
        <fgColor rgb="FFB6D7A8"/>
        <bgColor rgb="FFB6D7A8"/>
      </patternFill>
    </fill>
    <fill>
      <patternFill patternType="solid">
        <fgColor rgb="FFD1E6C8"/>
        <bgColor rgb="FFD1E6C8"/>
      </patternFill>
    </fill>
    <fill>
      <patternFill patternType="solid">
        <fgColor rgb="FF002060"/>
        <bgColor rgb="FF002060"/>
      </patternFill>
    </fill>
    <fill>
      <patternFill patternType="solid">
        <fgColor theme="0"/>
        <bgColor rgb="FFFFE598"/>
      </patternFill>
    </fill>
    <fill>
      <patternFill patternType="solid">
        <fgColor theme="7" tint="0.79998168889431442"/>
        <bgColor indexed="64"/>
      </patternFill>
    </fill>
    <fill>
      <patternFill patternType="solid">
        <fgColor theme="0" tint="-0.499984740745262"/>
        <bgColor rgb="FFD8D8D8"/>
      </patternFill>
    </fill>
    <fill>
      <patternFill patternType="solid">
        <fgColor theme="0" tint="-0.499984740745262"/>
        <bgColor rgb="FF000000"/>
      </patternFill>
    </fill>
    <fill>
      <patternFill patternType="solid">
        <fgColor theme="0" tint="-0.499984740745262"/>
        <bgColor indexed="64"/>
      </patternFill>
    </fill>
    <fill>
      <patternFill patternType="solid">
        <fgColor theme="0" tint="-0.499984740745262"/>
        <bgColor rgb="FFFFE598"/>
      </patternFill>
    </fill>
    <fill>
      <patternFill patternType="solid">
        <fgColor theme="0" tint="-0.499984740745262"/>
        <bgColor rgb="FFE2EFD9"/>
      </patternFill>
    </fill>
    <fill>
      <patternFill patternType="solid">
        <fgColor theme="0"/>
        <bgColor indexed="64"/>
      </patternFill>
    </fill>
    <fill>
      <patternFill patternType="solid">
        <fgColor theme="0"/>
        <bgColor rgb="FFE2EFD9"/>
      </patternFill>
    </fill>
    <fill>
      <patternFill patternType="solid">
        <fgColor theme="9" tint="0.39997558519241921"/>
        <bgColor rgb="FFB6D7A8"/>
      </patternFill>
    </fill>
    <fill>
      <patternFill patternType="solid">
        <fgColor theme="9" tint="0.59999389629810485"/>
        <bgColor indexed="64"/>
      </patternFill>
    </fill>
    <fill>
      <patternFill patternType="solid">
        <fgColor theme="3" tint="0.499984740745262"/>
        <bgColor rgb="FF3F3F3F"/>
      </patternFill>
    </fill>
    <fill>
      <patternFill patternType="solid">
        <fgColor theme="9" tint="0.39997558519241921"/>
        <bgColor indexed="64"/>
      </patternFill>
    </fill>
    <fill>
      <patternFill patternType="solid">
        <fgColor theme="9" tint="0.59999389629810485"/>
        <bgColor theme="0"/>
      </patternFill>
    </fill>
    <fill>
      <patternFill patternType="solid">
        <fgColor theme="0"/>
        <bgColor rgb="FFA2C4C9"/>
      </patternFill>
    </fill>
    <fill>
      <patternFill patternType="solid">
        <fgColor theme="0"/>
        <bgColor rgb="FFFEF2CB"/>
      </patternFill>
    </fill>
    <fill>
      <patternFill patternType="solid">
        <fgColor theme="4" tint="0.79998168889431442"/>
        <bgColor rgb="FFA2C4C9"/>
      </patternFill>
    </fill>
    <fill>
      <patternFill patternType="solid">
        <fgColor theme="4" tint="0.79998168889431442"/>
        <bgColor rgb="FFA3C4C9"/>
      </patternFill>
    </fill>
    <fill>
      <patternFill patternType="solid">
        <fgColor rgb="FF808080"/>
        <bgColor rgb="FF808080"/>
      </patternFill>
    </fill>
    <fill>
      <patternFill patternType="solid">
        <fgColor rgb="FF434343"/>
        <bgColor rgb="FF434343"/>
      </patternFill>
    </fill>
    <fill>
      <patternFill patternType="solid">
        <fgColor rgb="FFE8A160"/>
        <bgColor rgb="FFFFD965"/>
      </patternFill>
    </fill>
    <fill>
      <patternFill patternType="solid">
        <fgColor rgb="FFEFBD8F"/>
        <bgColor rgb="FFFFD965"/>
      </patternFill>
    </fill>
    <fill>
      <patternFill patternType="solid">
        <fgColor rgb="FFB4656F"/>
        <bgColor rgb="FFF9CB9C"/>
      </patternFill>
    </fill>
    <fill>
      <patternFill patternType="solid">
        <fgColor rgb="FFB4656F"/>
        <bgColor indexed="64"/>
      </patternFill>
    </fill>
    <fill>
      <patternFill patternType="solid">
        <fgColor rgb="FFB4656F"/>
        <bgColor rgb="FFFEF2CB"/>
      </patternFill>
    </fill>
    <fill>
      <patternFill patternType="solid">
        <fgColor rgb="FFB4656F"/>
        <bgColor rgb="FFFFE598"/>
      </patternFill>
    </fill>
    <fill>
      <patternFill patternType="solid">
        <fgColor rgb="FFB4656F"/>
        <bgColor rgb="FFE2EFD9"/>
      </patternFill>
    </fill>
    <fill>
      <patternFill patternType="solid">
        <fgColor rgb="FFCB959B"/>
        <bgColor rgb="FFF9CB9C"/>
      </patternFill>
    </fill>
    <fill>
      <patternFill patternType="solid">
        <fgColor rgb="FFCB959B"/>
        <bgColor rgb="FFFBE4D5"/>
      </patternFill>
    </fill>
    <fill>
      <patternFill patternType="solid">
        <fgColor rgb="FF4F6D7A"/>
        <bgColor rgb="FF989999"/>
      </patternFill>
    </fill>
    <fill>
      <patternFill patternType="solid">
        <fgColor rgb="FF4F6D7A"/>
        <bgColor indexed="64"/>
      </patternFill>
    </fill>
    <fill>
      <patternFill patternType="solid">
        <fgColor rgb="FF4F6D7A"/>
        <bgColor rgb="FF999999"/>
      </patternFill>
    </fill>
    <fill>
      <patternFill patternType="solid">
        <fgColor rgb="FF7A9BAA"/>
        <bgColor rgb="FFD8D8D8"/>
      </patternFill>
    </fill>
    <fill>
      <patternFill patternType="solid">
        <fgColor rgb="FFB2C5CE"/>
        <bgColor rgb="FFD8D8D8"/>
      </patternFill>
    </fill>
    <fill>
      <patternFill patternType="solid">
        <fgColor theme="0"/>
        <bgColor rgb="FFD8D8D8"/>
      </patternFill>
    </fill>
    <fill>
      <patternFill patternType="solid">
        <fgColor rgb="FFEFBD8F"/>
        <bgColor rgb="FFFFE699"/>
      </patternFill>
    </fill>
    <fill>
      <patternFill patternType="solid">
        <fgColor rgb="FFB4656F"/>
        <bgColor rgb="FFF4B084"/>
      </patternFill>
    </fill>
    <fill>
      <patternFill patternType="solid">
        <fgColor rgb="FFB4656F"/>
        <bgColor rgb="FFF8CBAD"/>
      </patternFill>
    </fill>
    <fill>
      <patternFill patternType="solid">
        <fgColor rgb="FF7A9BAA"/>
        <bgColor rgb="FF7F7F7F"/>
      </patternFill>
    </fill>
    <fill>
      <patternFill patternType="solid">
        <fgColor rgb="FF7A9BAA"/>
        <bgColor indexed="64"/>
      </patternFill>
    </fill>
    <fill>
      <patternFill patternType="solid">
        <fgColor rgb="FF7A9BAA"/>
        <bgColor rgb="FF989999"/>
      </patternFill>
    </fill>
    <fill>
      <patternFill patternType="solid">
        <fgColor rgb="FFB2C5CE"/>
        <bgColor rgb="FF989999"/>
      </patternFill>
    </fill>
    <fill>
      <patternFill patternType="solid">
        <fgColor rgb="FFB2C5CE"/>
        <bgColor rgb="FFA6A6A6"/>
      </patternFill>
    </fill>
    <fill>
      <patternFill patternType="solid">
        <fgColor rgb="FFB2C5CE"/>
        <bgColor indexed="64"/>
      </patternFill>
    </fill>
    <fill>
      <patternFill patternType="solid">
        <fgColor rgb="FFCB959B"/>
        <bgColor rgb="FFF4B084"/>
      </patternFill>
    </fill>
    <fill>
      <patternFill patternType="solid">
        <fgColor rgb="FFB2C5CE"/>
        <bgColor rgb="FF7F7F7F"/>
      </patternFill>
    </fill>
    <fill>
      <patternFill patternType="solid">
        <fgColor rgb="FFB2C5CE"/>
        <bgColor rgb="FFBFBFBF"/>
      </patternFill>
    </fill>
    <fill>
      <patternFill patternType="solid">
        <fgColor rgb="FF7A9BAA"/>
        <bgColor rgb="FF808080"/>
      </patternFill>
    </fill>
    <fill>
      <patternFill patternType="solid">
        <fgColor rgb="FF7A9BAA"/>
        <bgColor rgb="FFD9D9D9"/>
      </patternFill>
    </fill>
    <fill>
      <patternFill patternType="solid">
        <fgColor rgb="FFA3C4C9"/>
        <bgColor indexed="64"/>
      </patternFill>
    </fill>
    <fill>
      <patternFill patternType="solid">
        <fgColor rgb="FFB7D7A8"/>
        <bgColor rgb="FFA8D08D"/>
      </patternFill>
    </fill>
    <fill>
      <patternFill patternType="solid">
        <fgColor rgb="FFA8D08D"/>
        <bgColor rgb="FFB6D7A8"/>
      </patternFill>
    </fill>
    <fill>
      <patternFill patternType="solid">
        <fgColor rgb="FFA8D08D"/>
        <bgColor indexed="64"/>
      </patternFill>
    </fill>
    <fill>
      <patternFill patternType="solid">
        <fgColor rgb="FFB7D7A8"/>
        <bgColor indexed="64"/>
      </patternFill>
    </fill>
    <fill>
      <patternFill patternType="solid">
        <fgColor rgb="FFD1E6C8"/>
        <bgColor indexed="64"/>
      </patternFill>
    </fill>
    <fill>
      <patternFill patternType="solid">
        <fgColor rgb="FFDAE2F2"/>
        <bgColor rgb="FFCFE2F3"/>
      </patternFill>
    </fill>
    <fill>
      <patternFill patternType="solid">
        <fgColor rgb="FFDAE2F2"/>
        <bgColor indexed="64"/>
      </patternFill>
    </fill>
    <fill>
      <patternFill patternType="solid">
        <fgColor rgb="FFCB959B"/>
        <bgColor indexed="64"/>
      </patternFill>
    </fill>
    <fill>
      <patternFill patternType="solid">
        <fgColor theme="7" tint="0.79998168889431442"/>
        <bgColor rgb="FFFEF2CB"/>
      </patternFill>
    </fill>
    <fill>
      <patternFill patternType="solid">
        <fgColor rgb="FF02486F"/>
        <bgColor indexed="64"/>
      </patternFill>
    </fill>
    <fill>
      <patternFill patternType="solid">
        <fgColor theme="8" tint="-0.499984740745262"/>
        <bgColor indexed="64"/>
      </patternFill>
    </fill>
    <fill>
      <patternFill patternType="solid">
        <fgColor theme="4"/>
        <bgColor indexed="64"/>
      </patternFill>
    </fill>
    <fill>
      <patternFill patternType="solid">
        <fgColor rgb="FFA5A5A5"/>
      </patternFill>
    </fill>
    <fill>
      <patternFill patternType="solid">
        <fgColor theme="1"/>
        <bgColor indexed="64"/>
      </patternFill>
    </fill>
    <fill>
      <patternFill patternType="solid">
        <fgColor rgb="FFE8A160"/>
        <bgColor indexed="64"/>
      </patternFill>
    </fill>
    <fill>
      <patternFill patternType="solid">
        <fgColor theme="0" tint="-4.9989318521683403E-2"/>
        <bgColor indexed="64"/>
      </patternFill>
    </fill>
    <fill>
      <patternFill patternType="solid">
        <fgColor rgb="FF3F3F3F"/>
        <bgColor indexed="64"/>
      </patternFill>
    </fill>
    <fill>
      <patternFill patternType="solid">
        <fgColor theme="7"/>
        <bgColor indexed="64"/>
      </patternFill>
    </fill>
    <fill>
      <patternFill patternType="solid">
        <fgColor theme="0" tint="-0.14999847407452621"/>
        <bgColor indexed="64"/>
      </patternFill>
    </fill>
    <fill>
      <patternFill patternType="solid">
        <fgColor theme="1"/>
        <bgColor rgb="FFA8D08D"/>
      </patternFill>
    </fill>
    <fill>
      <patternFill patternType="solid">
        <fgColor theme="0" tint="-0.249977111117893"/>
        <bgColor rgb="FF808080"/>
      </patternFill>
    </fill>
    <fill>
      <patternFill patternType="solid">
        <fgColor rgb="FFA3C4C9"/>
        <bgColor rgb="FF808080"/>
      </patternFill>
    </fill>
    <fill>
      <patternFill patternType="solid">
        <fgColor rgb="FFA8D08D"/>
        <bgColor rgb="FF808080"/>
      </patternFill>
    </fill>
    <fill>
      <patternFill patternType="solid">
        <fgColor rgb="FF4F6D7A"/>
        <bgColor rgb="FF808080"/>
      </patternFill>
    </fill>
    <fill>
      <patternFill patternType="solid">
        <fgColor theme="1" tint="0.34998626667073579"/>
        <bgColor indexed="64"/>
      </patternFill>
    </fill>
    <fill>
      <patternFill patternType="solid">
        <fgColor theme="1" tint="0.34998626667073579"/>
        <bgColor rgb="FFA8D08D"/>
      </patternFill>
    </fill>
    <fill>
      <patternFill patternType="solid">
        <fgColor theme="1" tint="0.14999847407452621"/>
        <bgColor indexed="64"/>
      </patternFill>
    </fill>
    <fill>
      <patternFill patternType="solid">
        <fgColor rgb="FFFFCC99"/>
      </patternFill>
    </fill>
    <fill>
      <patternFill patternType="solid">
        <fgColor rgb="FFFFD5D6"/>
        <bgColor indexed="64"/>
      </patternFill>
    </fill>
  </fills>
  <borders count="105">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D8D8D8"/>
      </left>
      <right style="thin">
        <color rgb="FFD8D8D8"/>
      </right>
      <top style="thin">
        <color rgb="FFD8D8D8"/>
      </top>
      <bottom style="thin">
        <color rgb="FFD8D8D8"/>
      </bottom>
      <diagonal/>
    </border>
    <border>
      <left/>
      <right/>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diagonal/>
    </border>
    <border>
      <left style="medium">
        <color theme="1"/>
      </left>
      <right/>
      <top style="medium">
        <color theme="1"/>
      </top>
      <bottom/>
      <diagonal/>
    </border>
    <border>
      <left/>
      <right/>
      <top style="medium">
        <color theme="1"/>
      </top>
      <bottom/>
      <diagonal/>
    </border>
    <border>
      <left style="thin">
        <color rgb="FFD8D8D8"/>
      </left>
      <right style="thin">
        <color rgb="FFD8D8D8"/>
      </right>
      <top style="medium">
        <color theme="1"/>
      </top>
      <bottom style="thin">
        <color rgb="FFD8D8D8"/>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diagonal/>
    </border>
    <border>
      <left/>
      <right/>
      <top/>
      <bottom style="thin">
        <color theme="0" tint="-0.24994659260841701"/>
      </bottom>
      <diagonal/>
    </border>
    <border>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right style="thin">
        <color theme="0" tint="-0.24994659260841701"/>
      </right>
      <top style="thin">
        <color theme="0" tint="-0.14996795556505021"/>
      </top>
      <bottom style="thin">
        <color theme="0" tint="-0.14996795556505021"/>
      </bottom>
      <diagonal/>
    </border>
    <border>
      <left/>
      <right style="thin">
        <color theme="0" tint="-0.24994659260841701"/>
      </right>
      <top/>
      <bottom style="thin">
        <color theme="0" tint="-0.14996795556505021"/>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top/>
      <bottom style="thin">
        <color rgb="FFD9D9D9"/>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bottom/>
      <diagonal/>
    </border>
    <border>
      <left/>
      <right style="medium">
        <color indexed="64"/>
      </right>
      <top style="thin">
        <color theme="0" tint="-0.14996795556505021"/>
      </top>
      <bottom/>
      <diagonal/>
    </border>
    <border>
      <left/>
      <right style="medium">
        <color indexed="64"/>
      </right>
      <top style="thin">
        <color theme="0" tint="-0.249977111117893"/>
      </top>
      <bottom style="thin">
        <color theme="0" tint="-0.249977111117893"/>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0" tint="-0.24994659260841701"/>
      </left>
      <right style="thin">
        <color theme="0" tint="-0.24994659260841701"/>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4659260841701"/>
      </left>
      <right style="thin">
        <color theme="0" tint="-0.24994659260841701"/>
      </right>
      <top style="thin">
        <color theme="0" tint="-0.249977111117893"/>
      </top>
      <bottom/>
      <diagonal/>
    </border>
    <border>
      <left/>
      <right style="medium">
        <color indexed="64"/>
      </right>
      <top style="thin">
        <color theme="0" tint="-0.249977111117893"/>
      </top>
      <bottom/>
      <diagonal/>
    </border>
    <border>
      <left/>
      <right/>
      <top/>
      <bottom style="thin">
        <color theme="0" tint="-0.249977111117893"/>
      </bottom>
      <diagonal/>
    </border>
    <border>
      <left style="thin">
        <color theme="0" tint="-0.24994659260841701"/>
      </left>
      <right style="thin">
        <color theme="0" tint="-0.24994659260841701"/>
      </right>
      <top/>
      <bottom style="thin">
        <color theme="0" tint="-0.249977111117893"/>
      </bottom>
      <diagonal/>
    </border>
    <border>
      <left/>
      <right style="medium">
        <color indexed="64"/>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4659260841701"/>
      </left>
      <right style="medium">
        <color indexed="64"/>
      </right>
      <top style="thin">
        <color theme="0" tint="-0.14996795556505021"/>
      </top>
      <bottom style="thin">
        <color theme="0" tint="-0.14999847407452621"/>
      </bottom>
      <diagonal/>
    </border>
    <border>
      <left style="thin">
        <color theme="0" tint="-0.24994659260841701"/>
      </left>
      <right style="thin">
        <color theme="0" tint="-0.24994659260841701"/>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style="hair">
        <color theme="0" tint="-0.249977111117893"/>
      </left>
      <right style="hair">
        <color theme="0" tint="-0.249977111117893"/>
      </right>
      <top style="hair">
        <color theme="0" tint="-0.249977111117893"/>
      </top>
      <bottom style="thin">
        <color theme="0" tint="-0.14999847407452621"/>
      </bottom>
      <diagonal/>
    </border>
    <border>
      <left/>
      <right style="thin">
        <color theme="0" tint="-0.24994659260841701"/>
      </right>
      <top style="thin">
        <color theme="0" tint="-0.14996795556505021"/>
      </top>
      <bottom style="thin">
        <color theme="0" tint="-0.14999847407452621"/>
      </bottom>
      <diagonal/>
    </border>
    <border>
      <left style="thin">
        <color theme="0" tint="-0.24994659260841701"/>
      </left>
      <right style="thin">
        <color theme="0" tint="-0.24994659260841701"/>
      </right>
      <top/>
      <bottom style="thin">
        <color theme="0" tint="-0.14999847407452621"/>
      </bottom>
      <diagonal/>
    </border>
    <border>
      <left/>
      <right/>
      <top/>
      <bottom style="thin">
        <color theme="0" tint="-0.14999847407452621"/>
      </bottom>
      <diagonal/>
    </border>
    <border>
      <left style="thin">
        <color theme="0" tint="-0.14999847407452621"/>
      </left>
      <right style="medium">
        <color indexed="64"/>
      </right>
      <top style="thin">
        <color theme="0" tint="-0.14996795556505021"/>
      </top>
      <bottom style="thin">
        <color theme="0" tint="-0.14999847407452621"/>
      </bottom>
      <diagonal/>
    </border>
    <border>
      <left style="thin">
        <color theme="0" tint="-0.24994659260841701"/>
      </left>
      <right/>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14999847407452621"/>
      </left>
      <right style="medium">
        <color indexed="64"/>
      </right>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24994659260841701"/>
      </left>
      <right style="medium">
        <color indexed="64"/>
      </right>
      <top/>
      <bottom style="thin">
        <color theme="0" tint="-0.14999847407452621"/>
      </bottom>
      <diagonal/>
    </border>
    <border>
      <left style="thin">
        <color theme="0" tint="-0.24994659260841701"/>
      </left>
      <right style="medium">
        <color indexed="64"/>
      </right>
      <top style="thin">
        <color theme="0" tint="-0.14999847407452621"/>
      </top>
      <bottom style="thin">
        <color theme="0" tint="-0.14999847407452621"/>
      </bottom>
      <diagonal/>
    </border>
    <border>
      <left/>
      <right style="medium">
        <color indexed="64"/>
      </right>
      <top style="thin">
        <color theme="0" tint="-0.14999847407452621"/>
      </top>
      <bottom style="thin">
        <color theme="0" tint="-0.14999847407452621"/>
      </bottom>
      <diagonal/>
    </border>
    <border>
      <left style="thin">
        <color theme="0" tint="-0.24994659260841701"/>
      </left>
      <right style="thin">
        <color theme="0" tint="-0.24994659260841701"/>
      </right>
      <top style="thin">
        <color theme="0" tint="-0.14999847407452621"/>
      </top>
      <bottom style="thin">
        <color theme="0" tint="-0.14999847407452621"/>
      </bottom>
      <diagonal/>
    </border>
    <border>
      <left style="thin">
        <color theme="0" tint="-0.249977111117893"/>
      </left>
      <right style="medium">
        <color indexed="64"/>
      </right>
      <top style="thin">
        <color theme="0" tint="-0.249977111117893"/>
      </top>
      <bottom style="thin">
        <color theme="0" tint="-0.249977111117893"/>
      </bottom>
      <diagonal/>
    </border>
    <border>
      <left/>
      <right/>
      <top/>
      <bottom style="thick">
        <color rgb="FF80C2D4"/>
      </bottom>
      <diagonal/>
    </border>
    <border>
      <left/>
      <right/>
      <top/>
      <bottom style="medium">
        <color rgb="FF80C2D4"/>
      </bottom>
      <diagonal/>
    </border>
    <border>
      <left/>
      <right/>
      <top/>
      <bottom style="double">
        <color indexed="64"/>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n">
        <color theme="0" tint="-0.14990691854609822"/>
      </bottom>
      <diagonal/>
    </border>
    <border>
      <left style="thin">
        <color theme="0" tint="-0.24994659260841701"/>
      </left>
      <right style="thin">
        <color theme="0" tint="-0.24994659260841701"/>
      </right>
      <top/>
      <bottom style="thin">
        <color theme="0" tint="-0.14990691854609822"/>
      </bottom>
      <diagonal/>
    </border>
    <border>
      <left/>
      <right/>
      <top style="thin">
        <color theme="0" tint="-0.14990691854609822"/>
      </top>
      <bottom style="thin">
        <color theme="0" tint="-0.14990691854609822"/>
      </bottom>
      <diagonal/>
    </border>
    <border>
      <left style="thin">
        <color theme="0" tint="-0.24994659260841701"/>
      </left>
      <right style="thin">
        <color theme="0" tint="-0.24994659260841701"/>
      </right>
      <top style="thin">
        <color theme="0" tint="-0.14990691854609822"/>
      </top>
      <bottom style="thin">
        <color theme="0" tint="-0.14990691854609822"/>
      </bottom>
      <diagonal/>
    </border>
    <border>
      <left/>
      <right/>
      <top style="thin">
        <color theme="0" tint="-0.14990691854609822"/>
      </top>
      <bottom/>
      <diagonal/>
    </border>
    <border>
      <left style="thin">
        <color theme="0" tint="-0.24994659260841701"/>
      </left>
      <right style="thin">
        <color theme="0" tint="-0.24994659260841701"/>
      </right>
      <top style="thin">
        <color theme="0" tint="-0.14990691854609822"/>
      </top>
      <bottom/>
      <diagonal/>
    </border>
    <border>
      <left/>
      <right style="thin">
        <color theme="0" tint="-0.24994659260841701"/>
      </right>
      <top style="thin">
        <color theme="0" tint="-0.14990691854609822"/>
      </top>
      <bottom style="thin">
        <color theme="0" tint="-0.14990691854609822"/>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theme="0"/>
      </bottom>
      <diagonal/>
    </border>
    <border>
      <left style="thin">
        <color indexed="64"/>
      </left>
      <right/>
      <top/>
      <bottom style="medium">
        <color theme="0"/>
      </bottom>
      <diagonal/>
    </border>
    <border>
      <left/>
      <right style="thin">
        <color indexed="64"/>
      </right>
      <top/>
      <bottom style="medium">
        <color theme="0"/>
      </bottom>
      <diagonal/>
    </border>
    <border>
      <left style="thin">
        <color rgb="FF7F7F7F"/>
      </left>
      <right style="thin">
        <color rgb="FF7F7F7F"/>
      </right>
      <top style="thin">
        <color rgb="FF7F7F7F"/>
      </top>
      <bottom style="thin">
        <color rgb="FF7F7F7F"/>
      </bottom>
      <diagonal/>
    </border>
    <border>
      <left style="thin">
        <color rgb="FFC00000"/>
      </left>
      <right style="thin">
        <color rgb="FFC00000"/>
      </right>
      <top style="thin">
        <color rgb="FFC00000"/>
      </top>
      <bottom style="thin">
        <color rgb="FFC00000"/>
      </bottom>
      <diagonal/>
    </border>
    <border>
      <left/>
      <right style="thin">
        <color theme="0" tint="-0.24994659260841701"/>
      </right>
      <top style="thin">
        <color theme="0" tint="-0.14996795556505021"/>
      </top>
      <bottom/>
      <diagonal/>
    </border>
    <border>
      <left/>
      <right style="thin">
        <color theme="0"/>
      </right>
      <top style="thin">
        <color theme="0" tint="-0.14996795556505021"/>
      </top>
      <bottom style="thin">
        <color theme="0" tint="-0.14996795556505021"/>
      </bottom>
      <diagonal/>
    </border>
    <border>
      <left style="thin">
        <color theme="0"/>
      </left>
      <right style="thin">
        <color theme="0"/>
      </right>
      <top style="thin">
        <color theme="0" tint="-0.14996795556505021"/>
      </top>
      <bottom style="thin">
        <color theme="0" tint="-0.14996795556505021"/>
      </bottom>
      <diagonal/>
    </border>
    <border>
      <left/>
      <right style="thin">
        <color theme="0"/>
      </right>
      <top style="thin">
        <color theme="0" tint="-0.249977111117893"/>
      </top>
      <bottom style="thin">
        <color theme="0" tint="-0.249977111117893"/>
      </bottom>
      <diagonal/>
    </border>
    <border>
      <left/>
      <right style="thin">
        <color theme="0"/>
      </right>
      <top style="thin">
        <color theme="0" tint="-0.14996795556505021"/>
      </top>
      <bottom style="thin">
        <color theme="0" tint="-0.24994659260841701"/>
      </bottom>
      <diagonal/>
    </border>
    <border>
      <left/>
      <right style="thin">
        <color theme="0"/>
      </right>
      <top style="thin">
        <color theme="0" tint="-0.14996795556505021"/>
      </top>
      <bottom style="thick">
        <color theme="0" tint="-0.24994659260841701"/>
      </bottom>
      <diagonal/>
    </border>
    <border>
      <left style="thin">
        <color theme="0"/>
      </left>
      <right style="thin">
        <color theme="0"/>
      </right>
      <top style="thin">
        <color theme="0" tint="-0.14996795556505021"/>
      </top>
      <bottom style="thin">
        <color theme="0" tint="-0.24994659260841701"/>
      </bottom>
      <diagonal/>
    </border>
    <border>
      <left style="thin">
        <color theme="0"/>
      </left>
      <right style="thin">
        <color theme="0"/>
      </right>
      <top style="thin">
        <color theme="0" tint="-0.14996795556505021"/>
      </top>
      <bottom style="thick">
        <color theme="0" tint="-0.24994659260841701"/>
      </bottom>
      <diagonal/>
    </border>
    <border>
      <left style="thin">
        <color theme="0" tint="-0.249977111117893"/>
      </left>
      <right style="thin">
        <color theme="0"/>
      </right>
      <top style="thin">
        <color theme="0" tint="-0.249977111117893"/>
      </top>
      <bottom style="thin">
        <color theme="0" tint="-0.249977111117893"/>
      </bottom>
      <diagonal/>
    </border>
    <border>
      <left style="thin">
        <color theme="0"/>
      </left>
      <right style="thin">
        <color theme="0"/>
      </right>
      <top style="thin">
        <color theme="0" tint="-0.249977111117893"/>
      </top>
      <bottom style="thin">
        <color theme="0" tint="-0.249977111117893"/>
      </bottom>
      <diagonal/>
    </border>
    <border>
      <left style="thin">
        <color rgb="FFC00000"/>
      </left>
      <right style="thin">
        <color rgb="FFC00000"/>
      </right>
      <top style="thin">
        <color rgb="FFC00000"/>
      </top>
      <bottom style="medium">
        <color theme="1"/>
      </bottom>
      <diagonal/>
    </border>
  </borders>
  <cellStyleXfs count="19">
    <xf numFmtId="0" fontId="0" fillId="0" borderId="0"/>
    <xf numFmtId="0" fontId="30" fillId="0" borderId="1"/>
    <xf numFmtId="43" fontId="30" fillId="0" borderId="1" applyFont="0" applyFill="0" applyBorder="0" applyAlignment="0" applyProtection="0"/>
    <xf numFmtId="9" fontId="31" fillId="0" borderId="0" applyFont="0" applyFill="0" applyBorder="0" applyAlignment="0" applyProtection="0"/>
    <xf numFmtId="0" fontId="85" fillId="0" borderId="1"/>
    <xf numFmtId="43" fontId="85" fillId="0" borderId="0" applyFont="0" applyFill="0" applyBorder="0" applyAlignment="0" applyProtection="0"/>
    <xf numFmtId="0" fontId="16" fillId="0" borderId="1"/>
    <xf numFmtId="0" fontId="139" fillId="74" borderId="69"/>
    <xf numFmtId="0" fontId="142" fillId="0" borderId="69"/>
    <xf numFmtId="0" fontId="143" fillId="0" borderId="70"/>
    <xf numFmtId="43" fontId="16" fillId="0" borderId="1"/>
    <xf numFmtId="0" fontId="141" fillId="0" borderId="1"/>
    <xf numFmtId="43" fontId="15" fillId="0" borderId="1" applyFont="0" applyFill="0" applyBorder="0" applyAlignment="0" applyProtection="0"/>
    <xf numFmtId="9" fontId="16" fillId="0" borderId="1"/>
    <xf numFmtId="0" fontId="15" fillId="0" borderId="1"/>
    <xf numFmtId="0" fontId="139" fillId="77" borderId="73" applyNumberFormat="0" applyAlignment="0" applyProtection="0"/>
    <xf numFmtId="0" fontId="14" fillId="0" borderId="1"/>
    <xf numFmtId="0" fontId="152" fillId="0" borderId="0" applyNumberFormat="0" applyFill="0" applyBorder="0" applyAlignment="0" applyProtection="0"/>
    <xf numFmtId="0" fontId="187" fillId="92" borderId="92" applyNumberFormat="0" applyAlignment="0" applyProtection="0"/>
  </cellStyleXfs>
  <cellXfs count="1252">
    <xf numFmtId="0" fontId="0" fillId="0" borderId="0" xfId="0"/>
    <xf numFmtId="0" fontId="19" fillId="0" borderId="0" xfId="0" applyFont="1"/>
    <xf numFmtId="0" fontId="19" fillId="0" borderId="0" xfId="0" applyFont="1" applyAlignment="1">
      <alignment wrapText="1"/>
    </xf>
    <xf numFmtId="0" fontId="21" fillId="0" borderId="1" xfId="0" applyFont="1" applyBorder="1" applyAlignment="1" applyProtection="1">
      <alignment horizontal="left"/>
      <protection locked="0"/>
    </xf>
    <xf numFmtId="1" fontId="21" fillId="0" borderId="1" xfId="0" applyNumberFormat="1" applyFont="1" applyBorder="1" applyAlignment="1" applyProtection="1">
      <alignment horizontal="left" wrapText="1"/>
      <protection locked="0"/>
    </xf>
    <xf numFmtId="1" fontId="21" fillId="0" borderId="1" xfId="0" applyNumberFormat="1" applyFont="1" applyBorder="1" applyAlignment="1" applyProtection="1">
      <alignment horizontal="left"/>
      <protection locked="0"/>
    </xf>
    <xf numFmtId="1" fontId="0" fillId="0" borderId="0" xfId="0" applyNumberFormat="1"/>
    <xf numFmtId="9" fontId="0" fillId="0" borderId="0" xfId="3" applyFont="1" applyAlignment="1"/>
    <xf numFmtId="0" fontId="0" fillId="0" borderId="1" xfId="0" applyBorder="1"/>
    <xf numFmtId="0" fontId="19" fillId="2" borderId="1" xfId="0" applyFont="1" applyFill="1" applyBorder="1"/>
    <xf numFmtId="0" fontId="34" fillId="17" borderId="2" xfId="0" applyFont="1" applyFill="1" applyBorder="1" applyAlignment="1">
      <alignment horizontal="left" vertical="center"/>
    </xf>
    <xf numFmtId="0" fontId="34" fillId="17" borderId="3" xfId="0" applyFont="1" applyFill="1" applyBorder="1" applyAlignment="1">
      <alignment horizontal="left" vertical="center"/>
    </xf>
    <xf numFmtId="0" fontId="34" fillId="17" borderId="4" xfId="0" applyFont="1" applyFill="1" applyBorder="1" applyAlignment="1">
      <alignment horizontal="left" vertical="center" wrapText="1"/>
    </xf>
    <xf numFmtId="0" fontId="38" fillId="0" borderId="0" xfId="0" applyFont="1" applyAlignment="1">
      <alignment horizontal="left"/>
    </xf>
    <xf numFmtId="0" fontId="21" fillId="0" borderId="1" xfId="0" applyFont="1" applyBorder="1" applyAlignment="1">
      <alignment horizontal="left" wrapText="1"/>
    </xf>
    <xf numFmtId="0" fontId="21" fillId="0" borderId="1" xfId="0" applyFont="1" applyBorder="1" applyAlignment="1">
      <alignment vertical="top" wrapText="1"/>
    </xf>
    <xf numFmtId="0" fontId="22" fillId="0" borderId="0" xfId="0" applyFont="1" applyAlignment="1">
      <alignment horizontal="left" wrapText="1"/>
    </xf>
    <xf numFmtId="0" fontId="23" fillId="28" borderId="10" xfId="0" applyFont="1" applyFill="1" applyBorder="1" applyAlignment="1">
      <alignment horizontal="left"/>
    </xf>
    <xf numFmtId="0" fontId="0" fillId="25" borderId="13" xfId="0" applyFill="1" applyBorder="1"/>
    <xf numFmtId="0" fontId="23" fillId="28" borderId="14" xfId="0" applyFont="1" applyFill="1" applyBorder="1" applyAlignment="1">
      <alignment horizontal="left"/>
    </xf>
    <xf numFmtId="0" fontId="24" fillId="28" borderId="14" xfId="0" applyFont="1" applyFill="1" applyBorder="1" applyAlignment="1">
      <alignment horizontal="left"/>
    </xf>
    <xf numFmtId="0" fontId="19" fillId="0" borderId="1" xfId="0" applyFont="1" applyBorder="1"/>
    <xf numFmtId="0" fontId="19" fillId="0" borderId="1" xfId="0" applyFont="1" applyBorder="1" applyAlignment="1">
      <alignment horizontal="left" wrapText="1"/>
    </xf>
    <xf numFmtId="0" fontId="23" fillId="3" borderId="10" xfId="0" applyFont="1" applyFill="1" applyBorder="1" applyAlignment="1">
      <alignment horizontal="left"/>
    </xf>
    <xf numFmtId="0" fontId="19" fillId="3" borderId="13" xfId="0" applyFont="1" applyFill="1" applyBorder="1" applyAlignment="1">
      <alignment horizontal="left" wrapText="1"/>
    </xf>
    <xf numFmtId="0" fontId="19" fillId="3" borderId="14" xfId="0" applyFont="1" applyFill="1" applyBorder="1"/>
    <xf numFmtId="0" fontId="19" fillId="3" borderId="15" xfId="0" applyFont="1" applyFill="1" applyBorder="1" applyAlignment="1">
      <alignment horizontal="left" wrapText="1"/>
    </xf>
    <xf numFmtId="0" fontId="24" fillId="28" borderId="14" xfId="0" applyFont="1" applyFill="1" applyBorder="1" applyAlignment="1">
      <alignment horizontal="left" vertical="center"/>
    </xf>
    <xf numFmtId="0" fontId="19" fillId="3" borderId="16" xfId="0" applyFont="1" applyFill="1" applyBorder="1" applyAlignment="1">
      <alignment vertical="center"/>
    </xf>
    <xf numFmtId="0" fontId="20" fillId="0" borderId="0" xfId="0" applyFont="1" applyAlignment="1">
      <alignment horizontal="left" wrapText="1"/>
    </xf>
    <xf numFmtId="0" fontId="24" fillId="28" borderId="16" xfId="0" applyFont="1" applyFill="1" applyBorder="1" applyAlignment="1">
      <alignment horizontal="left"/>
    </xf>
    <xf numFmtId="0" fontId="29" fillId="28" borderId="18" xfId="0" applyFont="1" applyFill="1" applyBorder="1" applyAlignment="1">
      <alignment horizontal="left"/>
    </xf>
    <xf numFmtId="0" fontId="19" fillId="0" borderId="8" xfId="0" applyFont="1" applyBorder="1"/>
    <xf numFmtId="0" fontId="21" fillId="0" borderId="7" xfId="0" applyFont="1" applyBorder="1" applyAlignment="1">
      <alignment horizontal="left" wrapText="1"/>
    </xf>
    <xf numFmtId="0" fontId="21" fillId="0" borderId="9" xfId="0" applyFont="1" applyBorder="1" applyAlignment="1">
      <alignment horizontal="left" wrapText="1"/>
    </xf>
    <xf numFmtId="0" fontId="21" fillId="0" borderId="9" xfId="0" applyFont="1" applyBorder="1" applyAlignment="1">
      <alignment horizontal="left"/>
    </xf>
    <xf numFmtId="0" fontId="65" fillId="19" borderId="1" xfId="0" applyFont="1" applyFill="1" applyBorder="1" applyAlignment="1">
      <alignment horizontal="left" wrapText="1"/>
    </xf>
    <xf numFmtId="0" fontId="65" fillId="19" borderId="1" xfId="0" applyFont="1" applyFill="1" applyBorder="1" applyAlignment="1">
      <alignment horizontal="left"/>
    </xf>
    <xf numFmtId="0" fontId="21" fillId="0" borderId="8" xfId="0" applyFont="1" applyBorder="1" applyAlignment="1">
      <alignment horizontal="left" wrapText="1"/>
    </xf>
    <xf numFmtId="0" fontId="22" fillId="0" borderId="15" xfId="0" applyFont="1" applyBorder="1" applyAlignment="1">
      <alignment horizontal="left" wrapText="1"/>
    </xf>
    <xf numFmtId="0" fontId="65" fillId="26" borderId="1" xfId="0" applyFont="1" applyFill="1" applyBorder="1" applyAlignment="1">
      <alignment horizontal="left" wrapText="1"/>
    </xf>
    <xf numFmtId="0" fontId="21" fillId="0" borderId="8" xfId="0" applyFont="1" applyBorder="1" applyAlignment="1">
      <alignment horizontal="left"/>
    </xf>
    <xf numFmtId="0" fontId="21" fillId="0" borderId="7" xfId="0" applyFont="1" applyBorder="1" applyAlignment="1">
      <alignment horizontal="left"/>
    </xf>
    <xf numFmtId="0" fontId="21" fillId="0" borderId="1" xfId="0" applyFont="1" applyBorder="1" applyAlignment="1">
      <alignment horizontal="left"/>
    </xf>
    <xf numFmtId="0" fontId="19" fillId="0" borderId="8" xfId="0" applyFont="1" applyBorder="1" applyAlignment="1">
      <alignment horizontal="left" wrapText="1"/>
    </xf>
    <xf numFmtId="0" fontId="19" fillId="0" borderId="7" xfId="0" applyFont="1" applyBorder="1" applyAlignment="1">
      <alignment horizontal="left" wrapText="1"/>
    </xf>
    <xf numFmtId="0" fontId="19" fillId="0" borderId="9" xfId="0" applyFont="1" applyBorder="1" applyAlignment="1">
      <alignment horizontal="left" vertical="center" wrapText="1"/>
    </xf>
    <xf numFmtId="0" fontId="19" fillId="0" borderId="7" xfId="0" applyFont="1" applyBorder="1"/>
    <xf numFmtId="0" fontId="30" fillId="22" borderId="1" xfId="0" applyFont="1" applyFill="1" applyBorder="1"/>
    <xf numFmtId="0" fontId="19" fillId="22" borderId="1" xfId="0" applyFont="1" applyFill="1" applyBorder="1"/>
    <xf numFmtId="0" fontId="19" fillId="22" borderId="7" xfId="0" applyFont="1" applyFill="1" applyBorder="1"/>
    <xf numFmtId="0" fontId="21" fillId="27" borderId="1" xfId="0" applyFont="1" applyFill="1" applyBorder="1" applyAlignment="1">
      <alignment horizontal="left" wrapText="1"/>
    </xf>
    <xf numFmtId="0" fontId="42" fillId="13" borderId="1" xfId="0" applyFont="1" applyFill="1" applyBorder="1" applyAlignment="1">
      <alignment horizontal="left" wrapText="1"/>
    </xf>
    <xf numFmtId="0" fontId="43" fillId="13" borderId="1" xfId="0" applyFont="1" applyFill="1" applyBorder="1" applyAlignment="1">
      <alignment horizontal="left" wrapText="1"/>
    </xf>
    <xf numFmtId="0" fontId="32" fillId="0" borderId="0" xfId="0" applyFont="1"/>
    <xf numFmtId="0" fontId="19" fillId="2" borderId="1" xfId="0" applyFont="1" applyFill="1" applyBorder="1" applyAlignment="1" applyProtection="1">
      <alignment horizontal="right"/>
      <protection locked="0"/>
    </xf>
    <xf numFmtId="0" fontId="19" fillId="2" borderId="1" xfId="0" applyFont="1" applyFill="1" applyBorder="1" applyProtection="1">
      <protection locked="0"/>
    </xf>
    <xf numFmtId="0" fontId="34" fillId="17" borderId="3" xfId="0" applyFont="1" applyFill="1" applyBorder="1" applyAlignment="1" applyProtection="1">
      <alignment horizontal="left" vertical="center"/>
      <protection locked="0"/>
    </xf>
    <xf numFmtId="0" fontId="21" fillId="0" borderId="1" xfId="0" applyFont="1" applyBorder="1" applyAlignment="1" applyProtection="1">
      <alignment vertical="top" wrapText="1"/>
      <protection locked="0"/>
    </xf>
    <xf numFmtId="0" fontId="19" fillId="0" borderId="1" xfId="0" applyFont="1" applyBorder="1" applyAlignment="1" applyProtection="1">
      <alignment vertical="top" wrapTex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vertical="top"/>
      <protection locked="0"/>
    </xf>
    <xf numFmtId="0" fontId="65" fillId="26" borderId="1" xfId="0" applyFont="1" applyFill="1" applyBorder="1" applyAlignment="1" applyProtection="1">
      <alignment horizontal="left" wrapText="1"/>
      <protection locked="0"/>
    </xf>
    <xf numFmtId="0" fontId="43" fillId="13" borderId="1" xfId="0" applyFont="1" applyFill="1" applyBorder="1" applyAlignment="1" applyProtection="1">
      <alignment horizontal="left" wrapText="1"/>
      <protection locked="0"/>
    </xf>
    <xf numFmtId="0" fontId="0" fillId="0" borderId="1" xfId="0" applyBorder="1" applyProtection="1">
      <protection locked="0"/>
    </xf>
    <xf numFmtId="0" fontId="21" fillId="0" borderId="0" xfId="0" applyFont="1" applyAlignment="1" applyProtection="1">
      <alignment vertical="top" wrapText="1"/>
      <protection locked="0"/>
    </xf>
    <xf numFmtId="0" fontId="0" fillId="0" borderId="0" xfId="0" applyProtection="1">
      <protection locked="0"/>
    </xf>
    <xf numFmtId="0" fontId="19" fillId="3" borderId="17" xfId="0" applyFont="1" applyFill="1" applyBorder="1" applyAlignment="1" applyProtection="1">
      <alignment vertical="center"/>
      <protection locked="0"/>
    </xf>
    <xf numFmtId="0" fontId="21" fillId="4" borderId="12" xfId="0" applyFont="1" applyFill="1" applyBorder="1" applyAlignment="1" applyProtection="1">
      <alignment horizontal="left" wrapText="1"/>
      <protection locked="0"/>
    </xf>
    <xf numFmtId="0" fontId="21" fillId="5" borderId="5" xfId="0" applyFont="1" applyFill="1" applyBorder="1" applyAlignment="1" applyProtection="1">
      <alignment horizontal="left" wrapText="1"/>
      <protection locked="0"/>
    </xf>
    <xf numFmtId="0" fontId="21" fillId="0" borderId="0" xfId="0" applyFont="1" applyAlignment="1" applyProtection="1">
      <alignment horizontal="left"/>
      <protection locked="0"/>
    </xf>
    <xf numFmtId="0" fontId="19" fillId="0" borderId="20" xfId="0" applyFont="1" applyBorder="1"/>
    <xf numFmtId="1" fontId="21" fillId="6" borderId="20" xfId="0" applyNumberFormat="1" applyFont="1" applyFill="1" applyBorder="1" applyAlignment="1" applyProtection="1">
      <alignment horizontal="left" wrapText="1"/>
      <protection locked="0"/>
    </xf>
    <xf numFmtId="0" fontId="21" fillId="0" borderId="21" xfId="0" applyFont="1" applyBorder="1" applyAlignment="1">
      <alignment horizontal="left" wrapText="1"/>
    </xf>
    <xf numFmtId="1" fontId="21" fillId="6" borderId="21" xfId="0" applyNumberFormat="1" applyFont="1" applyFill="1" applyBorder="1" applyAlignment="1" applyProtection="1">
      <alignment horizontal="left" wrapText="1"/>
      <protection locked="0"/>
    </xf>
    <xf numFmtId="0" fontId="21" fillId="0" borderId="22" xfId="0" applyFont="1" applyBorder="1" applyAlignment="1">
      <alignment horizontal="left"/>
    </xf>
    <xf numFmtId="1" fontId="21" fillId="6" borderId="22" xfId="0" applyNumberFormat="1" applyFont="1" applyFill="1" applyBorder="1" applyAlignment="1" applyProtection="1">
      <alignment horizontal="left" wrapText="1"/>
      <protection locked="0"/>
    </xf>
    <xf numFmtId="0" fontId="21" fillId="0" borderId="20" xfId="0" applyFont="1" applyBorder="1" applyAlignment="1">
      <alignment horizontal="left" wrapText="1"/>
    </xf>
    <xf numFmtId="0" fontId="21" fillId="0" borderId="22" xfId="0" applyFont="1" applyBorder="1" applyAlignment="1">
      <alignment horizontal="left" wrapText="1"/>
    </xf>
    <xf numFmtId="0" fontId="21" fillId="0" borderId="19" xfId="0" applyFont="1" applyBorder="1" applyAlignment="1">
      <alignment horizontal="left" wrapText="1"/>
    </xf>
    <xf numFmtId="1" fontId="21" fillId="6" borderId="19" xfId="0" applyNumberFormat="1" applyFont="1" applyFill="1" applyBorder="1" applyAlignment="1" applyProtection="1">
      <alignment horizontal="left" wrapText="1"/>
      <protection locked="0"/>
    </xf>
    <xf numFmtId="0" fontId="21" fillId="0" borderId="20" xfId="0" applyFont="1" applyBorder="1" applyAlignment="1">
      <alignment horizontal="left"/>
    </xf>
    <xf numFmtId="1" fontId="21" fillId="6" borderId="20" xfId="0" applyNumberFormat="1" applyFont="1" applyFill="1" applyBorder="1" applyAlignment="1" applyProtection="1">
      <alignment horizontal="left"/>
      <protection locked="0"/>
    </xf>
    <xf numFmtId="0" fontId="21" fillId="0" borderId="21" xfId="0" applyFont="1" applyBorder="1" applyAlignment="1">
      <alignment horizontal="left"/>
    </xf>
    <xf numFmtId="1" fontId="21" fillId="6" borderId="21" xfId="0" applyNumberFormat="1" applyFont="1" applyFill="1" applyBorder="1" applyAlignment="1" applyProtection="1">
      <alignment horizontal="left"/>
      <protection locked="0"/>
    </xf>
    <xf numFmtId="1" fontId="21" fillId="6" borderId="22" xfId="0" applyNumberFormat="1" applyFont="1" applyFill="1" applyBorder="1" applyAlignment="1" applyProtection="1">
      <alignment horizontal="left"/>
      <protection locked="0"/>
    </xf>
    <xf numFmtId="0" fontId="19" fillId="0" borderId="20" xfId="0" applyFont="1" applyBorder="1" applyAlignment="1">
      <alignment horizontal="left" wrapText="1"/>
    </xf>
    <xf numFmtId="0" fontId="19" fillId="0" borderId="21" xfId="0" applyFont="1" applyBorder="1"/>
    <xf numFmtId="0" fontId="19" fillId="0" borderId="21" xfId="0" applyFont="1" applyBorder="1" applyAlignment="1">
      <alignment horizontal="left" wrapText="1"/>
    </xf>
    <xf numFmtId="1" fontId="65" fillId="21" borderId="1" xfId="0" applyNumberFormat="1" applyFont="1" applyFill="1" applyBorder="1" applyAlignment="1" applyProtection="1">
      <alignment horizontal="left" wrapText="1"/>
      <protection locked="0"/>
    </xf>
    <xf numFmtId="0" fontId="19" fillId="22" borderId="23" xfId="0" applyFont="1" applyFill="1" applyBorder="1"/>
    <xf numFmtId="1" fontId="21" fillId="6" borderId="25" xfId="0" applyNumberFormat="1" applyFont="1" applyFill="1" applyBorder="1" applyAlignment="1" applyProtection="1">
      <alignment horizontal="left" wrapText="1"/>
      <protection locked="0"/>
    </xf>
    <xf numFmtId="0" fontId="19" fillId="0" borderId="27" xfId="0" applyFont="1" applyBorder="1"/>
    <xf numFmtId="0" fontId="49" fillId="9" borderId="1" xfId="0" applyFont="1" applyFill="1" applyBorder="1" applyAlignment="1">
      <alignment horizontal="left" wrapText="1"/>
    </xf>
    <xf numFmtId="0" fontId="49" fillId="9" borderId="1" xfId="0" applyFont="1" applyFill="1" applyBorder="1" applyAlignment="1" applyProtection="1">
      <alignment horizontal="left" wrapText="1"/>
      <protection locked="0"/>
    </xf>
    <xf numFmtId="0" fontId="19" fillId="0" borderId="9" xfId="0" applyFont="1" applyBorder="1"/>
    <xf numFmtId="0" fontId="19" fillId="0" borderId="22" xfId="0" applyFont="1" applyBorder="1"/>
    <xf numFmtId="0" fontId="19" fillId="22" borderId="9" xfId="0" applyFont="1" applyFill="1" applyBorder="1"/>
    <xf numFmtId="0" fontId="19" fillId="0" borderId="22" xfId="0" applyFont="1" applyBorder="1" applyAlignment="1">
      <alignment horizontal="left" wrapText="1"/>
    </xf>
    <xf numFmtId="0" fontId="19" fillId="0" borderId="9" xfId="0" applyFont="1" applyBorder="1" applyAlignment="1">
      <alignment horizontal="left" wrapText="1"/>
    </xf>
    <xf numFmtId="0" fontId="19" fillId="22" borderId="8" xfId="0" applyFont="1" applyFill="1" applyBorder="1"/>
    <xf numFmtId="0" fontId="54" fillId="14" borderId="1" xfId="0" applyFont="1" applyFill="1" applyBorder="1" applyAlignment="1">
      <alignment horizontal="left"/>
    </xf>
    <xf numFmtId="0" fontId="49" fillId="14" borderId="1" xfId="0" applyFont="1" applyFill="1" applyBorder="1" applyAlignment="1" applyProtection="1">
      <alignment horizontal="left" wrapText="1"/>
      <protection locked="0"/>
    </xf>
    <xf numFmtId="0" fontId="49" fillId="14" borderId="1" xfId="0" applyFont="1" applyFill="1" applyBorder="1" applyAlignment="1">
      <alignment horizontal="left" wrapText="1"/>
    </xf>
    <xf numFmtId="0" fontId="55" fillId="10" borderId="1" xfId="0" applyFont="1" applyFill="1" applyBorder="1" applyAlignment="1">
      <alignment wrapText="1"/>
    </xf>
    <xf numFmtId="0" fontId="46" fillId="10" borderId="1" xfId="0" applyFont="1" applyFill="1" applyBorder="1" applyAlignment="1">
      <alignment horizontal="left" wrapText="1"/>
    </xf>
    <xf numFmtId="0" fontId="46" fillId="10" borderId="1" xfId="0" applyFont="1" applyFill="1" applyBorder="1" applyAlignment="1" applyProtection="1">
      <alignment horizontal="left" wrapText="1"/>
      <protection locked="0"/>
    </xf>
    <xf numFmtId="0" fontId="48" fillId="12" borderId="1" xfId="0" applyFont="1" applyFill="1" applyBorder="1" applyAlignment="1">
      <alignment horizontal="left" wrapText="1"/>
    </xf>
    <xf numFmtId="0" fontId="49" fillId="12" borderId="1" xfId="0" applyFont="1" applyFill="1" applyBorder="1" applyAlignment="1">
      <alignment horizontal="left" wrapText="1"/>
    </xf>
    <xf numFmtId="0" fontId="49" fillId="12" borderId="1" xfId="0" applyFont="1" applyFill="1" applyBorder="1" applyAlignment="1" applyProtection="1">
      <alignment horizontal="left" wrapText="1"/>
      <protection locked="0"/>
    </xf>
    <xf numFmtId="0" fontId="52" fillId="2" borderId="1" xfId="0" applyFont="1" applyFill="1" applyBorder="1" applyAlignment="1">
      <alignment horizontal="left" wrapText="1"/>
    </xf>
    <xf numFmtId="0" fontId="53" fillId="2" borderId="1" xfId="0" applyFont="1" applyFill="1" applyBorder="1" applyAlignment="1" applyProtection="1">
      <alignment horizontal="left" wrapText="1"/>
      <protection locked="0"/>
    </xf>
    <xf numFmtId="0" fontId="53" fillId="2" borderId="1" xfId="0" applyFont="1" applyFill="1" applyBorder="1" applyAlignment="1">
      <alignment horizontal="left" wrapText="1"/>
    </xf>
    <xf numFmtId="0" fontId="81" fillId="22" borderId="1" xfId="0" applyFont="1" applyFill="1" applyBorder="1"/>
    <xf numFmtId="0" fontId="27" fillId="22" borderId="1" xfId="0" applyFont="1" applyFill="1" applyBorder="1" applyAlignment="1">
      <alignment horizontal="left" wrapText="1"/>
    </xf>
    <xf numFmtId="1" fontId="27" fillId="23" borderId="1" xfId="0" applyNumberFormat="1" applyFont="1" applyFill="1" applyBorder="1" applyAlignment="1" applyProtection="1">
      <alignment horizontal="left" wrapText="1"/>
      <protection locked="0"/>
    </xf>
    <xf numFmtId="1" fontId="21" fillId="5" borderId="21" xfId="0" applyNumberFormat="1" applyFont="1" applyFill="1" applyBorder="1" applyAlignment="1" applyProtection="1">
      <alignment horizontal="left"/>
      <protection locked="0"/>
    </xf>
    <xf numFmtId="0" fontId="21" fillId="0" borderId="0" xfId="0" applyFont="1" applyAlignment="1" applyProtection="1">
      <alignment vertical="top"/>
      <protection locked="0"/>
    </xf>
    <xf numFmtId="0" fontId="19" fillId="3" borderId="11" xfId="0" applyFont="1" applyFill="1" applyBorder="1" applyProtection="1">
      <protection locked="0"/>
    </xf>
    <xf numFmtId="0" fontId="19" fillId="3" borderId="1" xfId="0" applyFont="1" applyFill="1" applyBorder="1" applyProtection="1">
      <protection locked="0"/>
    </xf>
    <xf numFmtId="0" fontId="19" fillId="0" borderId="0" xfId="0" applyFont="1" applyProtection="1">
      <protection locked="0"/>
    </xf>
    <xf numFmtId="0" fontId="26" fillId="0" borderId="20" xfId="0" applyFont="1" applyBorder="1" applyProtection="1">
      <protection locked="0"/>
    </xf>
    <xf numFmtId="0" fontId="26" fillId="0" borderId="21" xfId="0" applyFont="1" applyBorder="1" applyProtection="1">
      <protection locked="0"/>
    </xf>
    <xf numFmtId="0" fontId="26" fillId="0" borderId="22" xfId="0" applyFont="1" applyBorder="1" applyProtection="1">
      <protection locked="0"/>
    </xf>
    <xf numFmtId="0" fontId="66" fillId="19" borderId="1" xfId="0" applyFont="1" applyFill="1" applyBorder="1" applyProtection="1">
      <protection locked="0"/>
    </xf>
    <xf numFmtId="1" fontId="21" fillId="5" borderId="20" xfId="0" applyNumberFormat="1" applyFont="1" applyFill="1" applyBorder="1" applyAlignment="1" applyProtection="1">
      <alignment horizontal="left"/>
      <protection locked="0"/>
    </xf>
    <xf numFmtId="1" fontId="21" fillId="5" borderId="22" xfId="0" applyNumberFormat="1" applyFont="1" applyFill="1" applyBorder="1" applyAlignment="1" applyProtection="1">
      <alignment horizontal="left"/>
      <protection locked="0"/>
    </xf>
    <xf numFmtId="0" fontId="49" fillId="9" borderId="1" xfId="0" applyFont="1" applyFill="1" applyBorder="1" applyAlignment="1" applyProtection="1">
      <alignment horizontal="left"/>
      <protection locked="0"/>
    </xf>
    <xf numFmtId="0" fontId="65" fillId="26" borderId="1" xfId="0" applyFont="1" applyFill="1" applyBorder="1" applyAlignment="1" applyProtection="1">
      <alignment horizontal="left"/>
      <protection locked="0"/>
    </xf>
    <xf numFmtId="1" fontId="21" fillId="5" borderId="19" xfId="0" applyNumberFormat="1" applyFont="1" applyFill="1" applyBorder="1" applyAlignment="1" applyProtection="1">
      <alignment horizontal="left"/>
      <protection locked="0"/>
    </xf>
    <xf numFmtId="1" fontId="21" fillId="5" borderId="25" xfId="0" applyNumberFormat="1" applyFont="1" applyFill="1" applyBorder="1" applyAlignment="1" applyProtection="1">
      <alignment horizontal="left"/>
      <protection locked="0"/>
    </xf>
    <xf numFmtId="0" fontId="46" fillId="10" borderId="1" xfId="0" applyFont="1" applyFill="1" applyBorder="1" applyAlignment="1" applyProtection="1">
      <alignment horizontal="left"/>
      <protection locked="0"/>
    </xf>
    <xf numFmtId="0" fontId="49" fillId="12" borderId="1" xfId="0" applyFont="1" applyFill="1" applyBorder="1" applyAlignment="1" applyProtection="1">
      <alignment horizontal="left"/>
      <protection locked="0"/>
    </xf>
    <xf numFmtId="0" fontId="53" fillId="2" borderId="1" xfId="0" applyFont="1" applyFill="1" applyBorder="1" applyAlignment="1" applyProtection="1">
      <alignment horizontal="left"/>
      <protection locked="0"/>
    </xf>
    <xf numFmtId="0" fontId="43" fillId="13" borderId="1" xfId="0" applyFont="1" applyFill="1" applyBorder="1" applyAlignment="1" applyProtection="1">
      <alignment horizontal="left"/>
      <protection locked="0"/>
    </xf>
    <xf numFmtId="1" fontId="27" fillId="15" borderId="1" xfId="0" applyNumberFormat="1" applyFont="1" applyFill="1" applyBorder="1" applyAlignment="1" applyProtection="1">
      <alignment horizontal="left"/>
      <protection locked="0"/>
    </xf>
    <xf numFmtId="0" fontId="49" fillId="14" borderId="1" xfId="0" applyFont="1" applyFill="1" applyBorder="1" applyAlignment="1" applyProtection="1">
      <alignment horizontal="left"/>
      <protection locked="0"/>
    </xf>
    <xf numFmtId="0" fontId="21" fillId="0" borderId="29" xfId="0" applyFont="1" applyBorder="1" applyAlignment="1">
      <alignment horizontal="left" wrapText="1"/>
    </xf>
    <xf numFmtId="0" fontId="55" fillId="32" borderId="1" xfId="0" applyFont="1" applyFill="1" applyBorder="1" applyAlignment="1">
      <alignment wrapText="1"/>
    </xf>
    <xf numFmtId="0" fontId="46" fillId="32" borderId="1" xfId="0" applyFont="1" applyFill="1" applyBorder="1" applyAlignment="1">
      <alignment horizontal="left" wrapText="1"/>
    </xf>
    <xf numFmtId="0" fontId="46" fillId="32" borderId="1" xfId="0" applyFont="1" applyFill="1" applyBorder="1" applyAlignment="1" applyProtection="1">
      <alignment horizontal="left"/>
      <protection locked="0"/>
    </xf>
    <xf numFmtId="0" fontId="46" fillId="32" borderId="1" xfId="0" applyFont="1" applyFill="1" applyBorder="1" applyAlignment="1" applyProtection="1">
      <alignment horizontal="left" wrapText="1"/>
      <protection locked="0"/>
    </xf>
    <xf numFmtId="0" fontId="88" fillId="33" borderId="1" xfId="4" applyFont="1" applyFill="1" applyAlignment="1">
      <alignment horizontal="left" wrapText="1"/>
    </xf>
    <xf numFmtId="0" fontId="88" fillId="33" borderId="1" xfId="4" applyFont="1" applyFill="1" applyAlignment="1">
      <alignment horizontal="left"/>
    </xf>
    <xf numFmtId="0" fontId="86" fillId="9" borderId="1" xfId="4" applyFont="1" applyFill="1" applyAlignment="1">
      <alignment horizontal="left" wrapText="1"/>
    </xf>
    <xf numFmtId="0" fontId="86" fillId="9" borderId="1" xfId="4" applyFont="1" applyFill="1" applyAlignment="1">
      <alignment horizontal="left"/>
    </xf>
    <xf numFmtId="0" fontId="87" fillId="34" borderId="1" xfId="4" applyFont="1" applyFill="1" applyAlignment="1">
      <alignment horizontal="left"/>
    </xf>
    <xf numFmtId="0" fontId="89" fillId="0" borderId="1" xfId="4" applyFont="1" applyAlignment="1">
      <alignment horizontal="left"/>
    </xf>
    <xf numFmtId="0" fontId="95" fillId="13" borderId="1" xfId="4" applyFont="1" applyFill="1" applyAlignment="1">
      <alignment horizontal="left" wrapText="1"/>
    </xf>
    <xf numFmtId="0" fontId="95" fillId="13" borderId="1" xfId="4" applyFont="1" applyFill="1" applyAlignment="1">
      <alignment horizontal="left"/>
    </xf>
    <xf numFmtId="0" fontId="95" fillId="13" borderId="1" xfId="4" applyFont="1" applyFill="1" applyAlignment="1">
      <alignment horizontal="left" vertical="center" wrapText="1"/>
    </xf>
    <xf numFmtId="0" fontId="86" fillId="14" borderId="1" xfId="4" applyFont="1" applyFill="1" applyAlignment="1">
      <alignment horizontal="left"/>
    </xf>
    <xf numFmtId="0" fontId="89" fillId="0" borderId="1" xfId="4" applyFont="1" applyAlignment="1">
      <alignment horizontal="left" wrapText="1"/>
    </xf>
    <xf numFmtId="0" fontId="25" fillId="0" borderId="1" xfId="0" applyFont="1" applyBorder="1" applyAlignment="1">
      <alignment horizontal="left" vertical="center"/>
    </xf>
    <xf numFmtId="0" fontId="0" fillId="22" borderId="1" xfId="0" applyFill="1" applyBorder="1"/>
    <xf numFmtId="0" fontId="33" fillId="22" borderId="1" xfId="0" applyFont="1" applyFill="1" applyBorder="1" applyAlignment="1">
      <alignment horizontal="left" vertical="center"/>
    </xf>
    <xf numFmtId="0" fontId="0" fillId="22" borderId="1" xfId="0" applyFill="1" applyBorder="1" applyAlignment="1">
      <alignment vertical="center"/>
    </xf>
    <xf numFmtId="0" fontId="46" fillId="22" borderId="1" xfId="0" applyFont="1" applyFill="1" applyBorder="1"/>
    <xf numFmtId="0" fontId="56" fillId="22" borderId="1" xfId="0" applyFont="1" applyFill="1" applyBorder="1"/>
    <xf numFmtId="0" fontId="41" fillId="22" borderId="1" xfId="0" applyFont="1" applyFill="1" applyBorder="1"/>
    <xf numFmtId="0" fontId="59" fillId="22" borderId="1" xfId="0" applyFont="1" applyFill="1" applyBorder="1"/>
    <xf numFmtId="0" fontId="51" fillId="22" borderId="1" xfId="0" applyFont="1" applyFill="1" applyBorder="1"/>
    <xf numFmtId="0" fontId="79" fillId="24" borderId="1" xfId="0" applyFont="1" applyFill="1" applyBorder="1" applyAlignment="1">
      <alignment vertical="top" wrapText="1"/>
    </xf>
    <xf numFmtId="0" fontId="96" fillId="31" borderId="1" xfId="0" applyFont="1" applyFill="1" applyBorder="1" applyAlignment="1">
      <alignment horizontal="left" vertical="center" wrapText="1"/>
    </xf>
    <xf numFmtId="0" fontId="48" fillId="35" borderId="1" xfId="0" applyFont="1" applyFill="1" applyBorder="1" applyAlignment="1">
      <alignment horizontal="left" wrapText="1"/>
    </xf>
    <xf numFmtId="0" fontId="48" fillId="35" borderId="1" xfId="0" applyFont="1" applyFill="1" applyBorder="1" applyAlignment="1" applyProtection="1">
      <alignment horizontal="left"/>
      <protection locked="0"/>
    </xf>
    <xf numFmtId="0" fontId="48" fillId="35" borderId="1" xfId="0" applyFont="1" applyFill="1" applyBorder="1" applyAlignment="1" applyProtection="1">
      <alignment horizontal="left" wrapText="1"/>
      <protection locked="0"/>
    </xf>
    <xf numFmtId="0" fontId="68" fillId="36" borderId="1" xfId="0" applyFont="1" applyFill="1" applyBorder="1" applyAlignment="1">
      <alignment horizontal="left" wrapText="1"/>
    </xf>
    <xf numFmtId="0" fontId="68" fillId="36" borderId="1" xfId="0" applyFont="1" applyFill="1" applyBorder="1" applyAlignment="1" applyProtection="1">
      <alignment horizontal="left"/>
      <protection locked="0"/>
    </xf>
    <xf numFmtId="0" fontId="68" fillId="36" borderId="1" xfId="0" applyFont="1" applyFill="1" applyBorder="1" applyAlignment="1" applyProtection="1">
      <alignment horizontal="left" wrapText="1"/>
      <protection locked="0"/>
    </xf>
    <xf numFmtId="0" fontId="55" fillId="37" borderId="1" xfId="0" applyFont="1" applyFill="1" applyBorder="1" applyAlignment="1">
      <alignment horizontal="left" wrapText="1"/>
    </xf>
    <xf numFmtId="0" fontId="49" fillId="37" borderId="1" xfId="0" applyFont="1" applyFill="1" applyBorder="1" applyAlignment="1">
      <alignment horizontal="left" wrapText="1"/>
    </xf>
    <xf numFmtId="0" fontId="49" fillId="37" borderId="1" xfId="0" applyFont="1" applyFill="1" applyBorder="1" applyAlignment="1" applyProtection="1">
      <alignment horizontal="left"/>
      <protection locked="0"/>
    </xf>
    <xf numFmtId="0" fontId="49" fillId="37" borderId="1" xfId="0" applyFont="1" applyFill="1" applyBorder="1" applyAlignment="1" applyProtection="1">
      <alignment horizontal="left" wrapText="1"/>
      <protection locked="0"/>
    </xf>
    <xf numFmtId="0" fontId="66" fillId="37" borderId="1" xfId="0" applyFont="1" applyFill="1" applyBorder="1" applyAlignment="1">
      <alignment horizontal="left" wrapText="1"/>
    </xf>
    <xf numFmtId="0" fontId="65" fillId="37" borderId="1" xfId="0" applyFont="1" applyFill="1" applyBorder="1" applyAlignment="1">
      <alignment horizontal="left" wrapText="1"/>
    </xf>
    <xf numFmtId="0" fontId="65" fillId="37" borderId="1" xfId="0" applyFont="1" applyFill="1" applyBorder="1" applyAlignment="1" applyProtection="1">
      <alignment horizontal="left"/>
      <protection locked="0"/>
    </xf>
    <xf numFmtId="0" fontId="65" fillId="37" borderId="1" xfId="0" applyFont="1" applyFill="1" applyBorder="1" applyAlignment="1" applyProtection="1">
      <alignment horizontal="left" wrapText="1"/>
      <protection locked="0"/>
    </xf>
    <xf numFmtId="0" fontId="65" fillId="38" borderId="1" xfId="0" applyFont="1" applyFill="1" applyBorder="1" applyAlignment="1">
      <alignment horizontal="left"/>
    </xf>
    <xf numFmtId="1" fontId="65" fillId="40" borderId="1" xfId="0" applyNumberFormat="1" applyFont="1" applyFill="1" applyBorder="1" applyAlignment="1" applyProtection="1">
      <alignment horizontal="left"/>
      <protection locked="0"/>
    </xf>
    <xf numFmtId="1" fontId="65" fillId="41" borderId="1" xfId="0" applyNumberFormat="1" applyFont="1" applyFill="1" applyBorder="1" applyAlignment="1" applyProtection="1">
      <alignment horizontal="left" wrapText="1"/>
      <protection locked="0"/>
    </xf>
    <xf numFmtId="0" fontId="79" fillId="42" borderId="1" xfId="0" applyFont="1" applyFill="1" applyBorder="1" applyAlignment="1">
      <alignment vertical="top" wrapText="1"/>
    </xf>
    <xf numFmtId="0" fontId="42" fillId="43" borderId="1" xfId="0" applyFont="1" applyFill="1" applyBorder="1" applyAlignment="1">
      <alignment horizontal="left" wrapText="1"/>
    </xf>
    <xf numFmtId="0" fontId="43" fillId="43" borderId="1" xfId="0" applyFont="1" applyFill="1" applyBorder="1" applyAlignment="1">
      <alignment horizontal="left" wrapText="1"/>
    </xf>
    <xf numFmtId="0" fontId="43" fillId="43" borderId="1" xfId="0" applyFont="1" applyFill="1" applyBorder="1" applyAlignment="1" applyProtection="1">
      <alignment horizontal="left"/>
      <protection locked="0"/>
    </xf>
    <xf numFmtId="0" fontId="43" fillId="43" borderId="1" xfId="0" applyFont="1" applyFill="1" applyBorder="1" applyAlignment="1" applyProtection="1">
      <alignment horizontal="left" wrapText="1"/>
      <protection locked="0"/>
    </xf>
    <xf numFmtId="0" fontId="41" fillId="43" borderId="1" xfId="0" applyFont="1" applyFill="1" applyBorder="1" applyAlignment="1">
      <alignment horizontal="left" vertical="center" wrapText="1"/>
    </xf>
    <xf numFmtId="0" fontId="41" fillId="43" borderId="1" xfId="0" applyFont="1" applyFill="1" applyBorder="1" applyAlignment="1">
      <alignment horizontal="left" wrapText="1"/>
    </xf>
    <xf numFmtId="0" fontId="41" fillId="43" borderId="1" xfId="0" applyFont="1" applyFill="1" applyBorder="1" applyAlignment="1" applyProtection="1">
      <alignment horizontal="left"/>
      <protection locked="0"/>
    </xf>
    <xf numFmtId="0" fontId="41" fillId="43" borderId="1" xfId="0" applyFont="1" applyFill="1" applyBorder="1" applyAlignment="1" applyProtection="1">
      <alignment horizontal="left" wrapText="1"/>
      <protection locked="0"/>
    </xf>
    <xf numFmtId="0" fontId="61" fillId="44" borderId="1" xfId="0" applyFont="1" applyFill="1" applyBorder="1"/>
    <xf numFmtId="0" fontId="61" fillId="44" borderId="1" xfId="0" applyFont="1" applyFill="1" applyBorder="1" applyProtection="1">
      <protection locked="0"/>
    </xf>
    <xf numFmtId="0" fontId="28" fillId="44" borderId="1" xfId="0" applyFont="1" applyFill="1" applyBorder="1" applyAlignment="1">
      <alignment vertical="top" wrapText="1"/>
    </xf>
    <xf numFmtId="0" fontId="19" fillId="45" borderId="1" xfId="0" applyFont="1" applyFill="1" applyBorder="1" applyProtection="1">
      <protection locked="0"/>
    </xf>
    <xf numFmtId="0" fontId="56" fillId="47" borderId="1" xfId="0" applyFont="1" applyFill="1" applyBorder="1" applyAlignment="1">
      <alignment wrapText="1"/>
    </xf>
    <xf numFmtId="0" fontId="56" fillId="47" borderId="1" xfId="0" applyFont="1" applyFill="1" applyBorder="1" applyAlignment="1">
      <alignment horizontal="left" wrapText="1"/>
    </xf>
    <xf numFmtId="0" fontId="56" fillId="47" borderId="1" xfId="0" applyFont="1" applyFill="1" applyBorder="1" applyAlignment="1" applyProtection="1">
      <alignment horizontal="left"/>
      <protection locked="0"/>
    </xf>
    <xf numFmtId="0" fontId="56" fillId="47" borderId="1" xfId="0" applyFont="1" applyFill="1" applyBorder="1" applyAlignment="1" applyProtection="1">
      <alignment horizontal="left" wrapText="1"/>
      <protection locked="0"/>
    </xf>
    <xf numFmtId="0" fontId="41" fillId="48" borderId="1" xfId="0" applyFont="1" applyFill="1" applyBorder="1" applyAlignment="1">
      <alignment wrapText="1"/>
    </xf>
    <xf numFmtId="0" fontId="41" fillId="48" borderId="1" xfId="0" applyFont="1" applyFill="1" applyBorder="1" applyAlignment="1">
      <alignment horizontal="left" wrapText="1"/>
    </xf>
    <xf numFmtId="0" fontId="41" fillId="48" borderId="1" xfId="0" applyFont="1" applyFill="1" applyBorder="1" applyAlignment="1" applyProtection="1">
      <alignment horizontal="left"/>
      <protection locked="0"/>
    </xf>
    <xf numFmtId="0" fontId="41" fillId="48" borderId="1" xfId="0" applyFont="1" applyFill="1" applyBorder="1" applyAlignment="1" applyProtection="1">
      <alignment horizontal="left" wrapText="1"/>
      <protection locked="0"/>
    </xf>
    <xf numFmtId="0" fontId="76" fillId="48" borderId="1" xfId="0" applyFont="1" applyFill="1" applyBorder="1" applyAlignment="1">
      <alignment wrapText="1"/>
    </xf>
    <xf numFmtId="0" fontId="76" fillId="48" borderId="1" xfId="0" applyFont="1" applyFill="1" applyBorder="1" applyAlignment="1">
      <alignment horizontal="left" wrapText="1"/>
    </xf>
    <xf numFmtId="0" fontId="76" fillId="48" borderId="1" xfId="0" applyFont="1" applyFill="1" applyBorder="1" applyAlignment="1" applyProtection="1">
      <alignment horizontal="left"/>
      <protection locked="0"/>
    </xf>
    <xf numFmtId="0" fontId="76" fillId="48" borderId="1" xfId="0" applyFont="1" applyFill="1" applyBorder="1" applyAlignment="1" applyProtection="1">
      <alignment horizontal="left" wrapText="1"/>
      <protection locked="0"/>
    </xf>
    <xf numFmtId="0" fontId="19" fillId="22" borderId="1" xfId="0" applyFont="1" applyFill="1" applyBorder="1" applyAlignment="1">
      <alignment horizontal="right"/>
    </xf>
    <xf numFmtId="0" fontId="21" fillId="22" borderId="1" xfId="0" applyFont="1" applyFill="1" applyBorder="1" applyAlignment="1">
      <alignment horizontal="right" wrapText="1"/>
    </xf>
    <xf numFmtId="0" fontId="49" fillId="22" borderId="1" xfId="0" applyFont="1" applyFill="1" applyBorder="1" applyAlignment="1">
      <alignment horizontal="right" wrapText="1"/>
    </xf>
    <xf numFmtId="0" fontId="72" fillId="7" borderId="31" xfId="0" applyFont="1" applyFill="1" applyBorder="1" applyAlignment="1">
      <alignment horizontal="left"/>
    </xf>
    <xf numFmtId="0" fontId="72" fillId="7" borderId="32" xfId="0" applyFont="1" applyFill="1" applyBorder="1" applyAlignment="1">
      <alignment horizontal="left"/>
    </xf>
    <xf numFmtId="0" fontId="74" fillId="7" borderId="32" xfId="0" applyFont="1" applyFill="1" applyBorder="1" applyProtection="1">
      <protection locked="0"/>
    </xf>
    <xf numFmtId="0" fontId="75" fillId="7" borderId="32" xfId="0" applyFont="1" applyFill="1" applyBorder="1" applyAlignment="1">
      <alignment horizontal="left"/>
    </xf>
    <xf numFmtId="0" fontId="75" fillId="7" borderId="32" xfId="0" applyFont="1" applyFill="1" applyBorder="1" applyAlignment="1" applyProtection="1">
      <alignment horizontal="left"/>
      <protection locked="0"/>
    </xf>
    <xf numFmtId="0" fontId="75" fillId="7" borderId="33" xfId="0" applyFont="1" applyFill="1" applyBorder="1" applyAlignment="1" applyProtection="1">
      <alignment horizontal="left"/>
      <protection locked="0"/>
    </xf>
    <xf numFmtId="0" fontId="74" fillId="7" borderId="33" xfId="0" applyFont="1" applyFill="1" applyBorder="1" applyAlignment="1">
      <alignment horizontal="left" wrapText="1"/>
    </xf>
    <xf numFmtId="0" fontId="38" fillId="8" borderId="34" xfId="0" applyFont="1" applyFill="1" applyBorder="1" applyAlignment="1">
      <alignment horizontal="left" vertical="center"/>
    </xf>
    <xf numFmtId="0" fontId="73" fillId="18" borderId="34" xfId="0" applyFont="1" applyFill="1" applyBorder="1" applyAlignment="1">
      <alignment horizontal="left" vertical="center"/>
    </xf>
    <xf numFmtId="0" fontId="38" fillId="8" borderId="34" xfId="0" applyFont="1" applyFill="1" applyBorder="1" applyAlignment="1">
      <alignment horizontal="left"/>
    </xf>
    <xf numFmtId="0" fontId="38" fillId="0" borderId="34" xfId="0" applyFont="1" applyBorder="1" applyAlignment="1">
      <alignment horizontal="left"/>
    </xf>
    <xf numFmtId="0" fontId="71" fillId="35" borderId="34" xfId="0" applyFont="1" applyFill="1" applyBorder="1" applyAlignment="1">
      <alignment horizontal="left" vertical="center"/>
    </xf>
    <xf numFmtId="0" fontId="58" fillId="36" borderId="34" xfId="0" applyFont="1" applyFill="1" applyBorder="1" applyAlignment="1">
      <alignment horizontal="left"/>
    </xf>
    <xf numFmtId="0" fontId="38" fillId="0" borderId="34" xfId="0" applyFont="1" applyBorder="1" applyAlignment="1">
      <alignment horizontal="left" vertical="center"/>
    </xf>
    <xf numFmtId="0" fontId="67" fillId="37" borderId="34" xfId="0" applyFont="1" applyFill="1" applyBorder="1" applyAlignment="1">
      <alignment horizontal="left" vertical="center"/>
    </xf>
    <xf numFmtId="0" fontId="36" fillId="37" borderId="34" xfId="0" applyFont="1" applyFill="1" applyBorder="1" applyAlignment="1">
      <alignment horizontal="left" vertical="center"/>
    </xf>
    <xf numFmtId="0" fontId="58" fillId="37" borderId="34" xfId="0" applyFont="1" applyFill="1" applyBorder="1" applyAlignment="1">
      <alignment horizontal="left" vertical="center"/>
    </xf>
    <xf numFmtId="0" fontId="64" fillId="43" borderId="34" xfId="0" applyFont="1" applyFill="1" applyBorder="1" applyAlignment="1">
      <alignment horizontal="left"/>
    </xf>
    <xf numFmtId="0" fontId="37" fillId="37" borderId="34" xfId="0" applyFont="1" applyFill="1" applyBorder="1" applyAlignment="1">
      <alignment horizontal="left" vertical="center"/>
    </xf>
    <xf numFmtId="0" fontId="25" fillId="37" borderId="34" xfId="0" applyFont="1" applyFill="1" applyBorder="1" applyAlignment="1">
      <alignment horizontal="left" vertical="center"/>
    </xf>
    <xf numFmtId="0" fontId="25" fillId="0" borderId="34" xfId="0" applyFont="1" applyBorder="1" applyAlignment="1">
      <alignment horizontal="left" vertical="center"/>
    </xf>
    <xf numFmtId="0" fontId="60" fillId="44" borderId="34" xfId="0" applyFont="1" applyFill="1" applyBorder="1" applyAlignment="1">
      <alignment horizontal="left" vertical="center"/>
    </xf>
    <xf numFmtId="0" fontId="35" fillId="44" borderId="34" xfId="0" applyFont="1" applyFill="1" applyBorder="1" applyAlignment="1">
      <alignment horizontal="left" vertical="center"/>
    </xf>
    <xf numFmtId="0" fontId="58" fillId="47" borderId="34" xfId="0" applyFont="1" applyFill="1" applyBorder="1" applyAlignment="1">
      <alignment horizontal="left"/>
    </xf>
    <xf numFmtId="0" fontId="25" fillId="46" borderId="34" xfId="0" applyFont="1" applyFill="1" applyBorder="1" applyAlignment="1">
      <alignment horizontal="left" vertical="center"/>
    </xf>
    <xf numFmtId="0" fontId="63" fillId="47" borderId="34" xfId="0" applyFont="1" applyFill="1" applyBorder="1" applyAlignment="1">
      <alignment horizontal="left"/>
    </xf>
    <xf numFmtId="0" fontId="47" fillId="11" borderId="34" xfId="0" applyFont="1" applyFill="1" applyBorder="1" applyAlignment="1">
      <alignment horizontal="left" vertical="center"/>
    </xf>
    <xf numFmtId="0" fontId="38" fillId="11" borderId="34" xfId="0" applyFont="1" applyFill="1" applyBorder="1" applyAlignment="1">
      <alignment horizontal="left" vertical="center"/>
    </xf>
    <xf numFmtId="0" fontId="47" fillId="12" borderId="34" xfId="0" applyFont="1" applyFill="1" applyBorder="1" applyAlignment="1">
      <alignment horizontal="left" vertical="center"/>
    </xf>
    <xf numFmtId="0" fontId="39" fillId="24" borderId="34" xfId="0" applyFont="1" applyFill="1" applyBorder="1" applyAlignment="1">
      <alignment horizontal="left" vertical="center"/>
    </xf>
    <xf numFmtId="0" fontId="34" fillId="2" borderId="34" xfId="0" applyFont="1" applyFill="1" applyBorder="1" applyAlignment="1">
      <alignment horizontal="left"/>
    </xf>
    <xf numFmtId="0" fontId="45" fillId="13" borderId="34" xfId="0" applyFont="1" applyFill="1" applyBorder="1" applyAlignment="1">
      <alignment horizontal="left" vertical="center"/>
    </xf>
    <xf numFmtId="0" fontId="38" fillId="12" borderId="34" xfId="0" applyFont="1" applyFill="1" applyBorder="1" applyAlignment="1">
      <alignment horizontal="left" vertical="center"/>
    </xf>
    <xf numFmtId="0" fontId="45" fillId="13" borderId="34" xfId="0" applyFont="1" applyFill="1" applyBorder="1" applyAlignment="1">
      <alignment horizontal="left"/>
    </xf>
    <xf numFmtId="0" fontId="72" fillId="9" borderId="40" xfId="0" applyFont="1" applyFill="1" applyBorder="1" applyAlignment="1">
      <alignment horizontal="left" vertical="center"/>
    </xf>
    <xf numFmtId="0" fontId="73" fillId="26" borderId="34" xfId="0" applyFont="1" applyFill="1" applyBorder="1" applyAlignment="1">
      <alignment horizontal="left" vertical="center"/>
    </xf>
    <xf numFmtId="0" fontId="25" fillId="9" borderId="34" xfId="0" applyFont="1" applyFill="1" applyBorder="1" applyAlignment="1">
      <alignment horizontal="left" vertical="center"/>
    </xf>
    <xf numFmtId="0" fontId="47" fillId="31" borderId="34" xfId="0" applyFont="1" applyFill="1" applyBorder="1" applyAlignment="1">
      <alignment horizontal="left" vertical="center"/>
    </xf>
    <xf numFmtId="0" fontId="38" fillId="31" borderId="34" xfId="0" applyFont="1" applyFill="1" applyBorder="1" applyAlignment="1">
      <alignment horizontal="left" vertical="center"/>
    </xf>
    <xf numFmtId="0" fontId="25" fillId="29" borderId="34" xfId="0" applyFont="1" applyFill="1" applyBorder="1" applyAlignment="1">
      <alignment horizontal="left" vertical="center"/>
    </xf>
    <xf numFmtId="0" fontId="47" fillId="14" borderId="41" xfId="0" applyFont="1" applyFill="1" applyBorder="1" applyAlignment="1">
      <alignment horizontal="left" vertical="center"/>
    </xf>
    <xf numFmtId="0" fontId="38" fillId="14" borderId="41" xfId="0" applyFont="1" applyFill="1" applyBorder="1" applyAlignment="1">
      <alignment horizontal="left"/>
    </xf>
    <xf numFmtId="0" fontId="21" fillId="0" borderId="6" xfId="0" applyFont="1" applyBorder="1" applyAlignment="1">
      <alignment horizontal="left" wrapText="1"/>
    </xf>
    <xf numFmtId="0" fontId="21" fillId="0" borderId="42" xfId="0" applyFont="1" applyBorder="1" applyAlignment="1">
      <alignment horizontal="left" wrapText="1"/>
    </xf>
    <xf numFmtId="1" fontId="21" fillId="5" borderId="42" xfId="0" applyNumberFormat="1" applyFont="1" applyFill="1" applyBorder="1" applyAlignment="1" applyProtection="1">
      <alignment horizontal="left"/>
      <protection locked="0"/>
    </xf>
    <xf numFmtId="1" fontId="21" fillId="6" borderId="42" xfId="0" applyNumberFormat="1" applyFont="1" applyFill="1" applyBorder="1" applyAlignment="1" applyProtection="1">
      <alignment horizontal="left" wrapText="1"/>
      <protection locked="0"/>
    </xf>
    <xf numFmtId="0" fontId="97" fillId="33" borderId="1" xfId="4" applyFont="1" applyFill="1" applyAlignment="1">
      <alignment horizontal="left"/>
    </xf>
    <xf numFmtId="0" fontId="99" fillId="13" borderId="1" xfId="4" applyFont="1" applyFill="1" applyAlignment="1">
      <alignment horizontal="left"/>
    </xf>
    <xf numFmtId="0" fontId="99" fillId="13" borderId="1" xfId="4" applyFont="1" applyFill="1" applyAlignment="1">
      <alignment horizontal="left" vertical="center"/>
    </xf>
    <xf numFmtId="0" fontId="97" fillId="14" borderId="1" xfId="4" applyFont="1" applyFill="1" applyAlignment="1">
      <alignment horizontal="left"/>
    </xf>
    <xf numFmtId="0" fontId="19" fillId="3" borderId="18" xfId="0" applyFont="1" applyFill="1" applyBorder="1" applyAlignment="1">
      <alignment horizontal="left" wrapText="1"/>
    </xf>
    <xf numFmtId="0" fontId="19" fillId="2" borderId="1" xfId="0" applyFont="1" applyFill="1" applyBorder="1" applyAlignment="1">
      <alignment horizontal="left" wrapText="1"/>
    </xf>
    <xf numFmtId="0" fontId="0" fillId="0" borderId="0" xfId="0" applyAlignment="1">
      <alignment horizontal="left" wrapText="1"/>
    </xf>
    <xf numFmtId="0" fontId="22" fillId="22" borderId="35" xfId="0" applyFont="1" applyFill="1" applyBorder="1" applyAlignment="1">
      <alignment horizontal="left" vertical="top" wrapText="1"/>
    </xf>
    <xf numFmtId="0" fontId="86" fillId="8" borderId="1" xfId="4" applyFont="1" applyFill="1" applyAlignment="1" applyProtection="1">
      <alignment horizontal="left"/>
      <protection locked="0"/>
    </xf>
    <xf numFmtId="0" fontId="97" fillId="8" borderId="1" xfId="4" applyFont="1" applyFill="1" applyAlignment="1" applyProtection="1">
      <alignment horizontal="left"/>
      <protection locked="0"/>
    </xf>
    <xf numFmtId="0" fontId="86" fillId="8" borderId="1" xfId="4" applyFont="1" applyFill="1" applyAlignment="1" applyProtection="1">
      <alignment horizontal="left" wrapText="1"/>
      <protection locked="0"/>
    </xf>
    <xf numFmtId="0" fontId="88" fillId="33" borderId="1" xfId="4" applyFont="1" applyFill="1" applyAlignment="1" applyProtection="1">
      <alignment horizontal="left"/>
      <protection locked="0"/>
    </xf>
    <xf numFmtId="0" fontId="97" fillId="33" borderId="1" xfId="4" applyFont="1" applyFill="1" applyAlignment="1" applyProtection="1">
      <alignment horizontal="left"/>
      <protection locked="0"/>
    </xf>
    <xf numFmtId="0" fontId="88" fillId="33" borderId="1" xfId="4" applyFont="1" applyFill="1" applyAlignment="1" applyProtection="1">
      <alignment horizontal="left" wrapText="1"/>
      <protection locked="0"/>
    </xf>
    <xf numFmtId="0" fontId="22" fillId="0" borderId="35" xfId="0" applyFont="1" applyBorder="1" applyAlignment="1">
      <alignment horizontal="left" vertical="top" wrapText="1"/>
    </xf>
    <xf numFmtId="0" fontId="22" fillId="0" borderId="36" xfId="0" applyFont="1" applyBorder="1" applyAlignment="1">
      <alignment horizontal="left" vertical="top" wrapText="1"/>
    </xf>
    <xf numFmtId="0" fontId="83" fillId="0" borderId="37" xfId="0" applyFont="1" applyBorder="1" applyAlignment="1">
      <alignment horizontal="left" vertical="top" wrapText="1"/>
    </xf>
    <xf numFmtId="0" fontId="22" fillId="0" borderId="38" xfId="0" applyFont="1" applyBorder="1" applyAlignment="1">
      <alignment horizontal="left" vertical="top" wrapText="1"/>
    </xf>
    <xf numFmtId="0" fontId="57" fillId="19" borderId="37" xfId="0" applyFont="1" applyFill="1" applyBorder="1" applyAlignment="1">
      <alignment horizontal="left" vertical="top" wrapText="1"/>
    </xf>
    <xf numFmtId="3" fontId="22" fillId="0" borderId="35" xfId="0" applyNumberFormat="1" applyFont="1" applyBorder="1" applyAlignment="1">
      <alignment horizontal="left" vertical="top" wrapText="1"/>
    </xf>
    <xf numFmtId="0" fontId="22" fillId="0" borderId="37" xfId="0" applyFont="1" applyBorder="1" applyAlignment="1">
      <alignment horizontal="left" vertical="top" wrapText="1"/>
    </xf>
    <xf numFmtId="0" fontId="70" fillId="35" borderId="37" xfId="0" applyFont="1" applyFill="1" applyBorder="1" applyAlignment="1">
      <alignment horizontal="left" vertical="top" wrapText="1"/>
    </xf>
    <xf numFmtId="0" fontId="69" fillId="36" borderId="37" xfId="0" applyFont="1" applyFill="1" applyBorder="1" applyAlignment="1">
      <alignment horizontal="left" vertical="top" wrapText="1"/>
    </xf>
    <xf numFmtId="0" fontId="22" fillId="22" borderId="36" xfId="0" applyFont="1" applyFill="1" applyBorder="1" applyAlignment="1">
      <alignment horizontal="left" vertical="top" wrapText="1"/>
    </xf>
    <xf numFmtId="0" fontId="22" fillId="22" borderId="38" xfId="0" applyFont="1" applyFill="1" applyBorder="1" applyAlignment="1">
      <alignment horizontal="left" vertical="top" wrapText="1"/>
    </xf>
    <xf numFmtId="0" fontId="50" fillId="37" borderId="37" xfId="0" applyFont="1" applyFill="1" applyBorder="1" applyAlignment="1">
      <alignment horizontal="left" vertical="top" wrapText="1"/>
    </xf>
    <xf numFmtId="0" fontId="44" fillId="43" borderId="37" xfId="0" applyFont="1" applyFill="1" applyBorder="1" applyAlignment="1">
      <alignment horizontal="left" vertical="top" wrapText="1"/>
    </xf>
    <xf numFmtId="0" fontId="62" fillId="44" borderId="37" xfId="0" applyFont="1" applyFill="1" applyBorder="1" applyAlignment="1">
      <alignment horizontal="left" vertical="top" wrapText="1"/>
    </xf>
    <xf numFmtId="9" fontId="57" fillId="47" borderId="37" xfId="0" applyNumberFormat="1" applyFont="1" applyFill="1" applyBorder="1" applyAlignment="1">
      <alignment horizontal="left" vertical="top" wrapText="1"/>
    </xf>
    <xf numFmtId="9" fontId="44" fillId="48" borderId="37" xfId="0" applyNumberFormat="1" applyFont="1" applyFill="1" applyBorder="1" applyAlignment="1">
      <alignment horizontal="left" vertical="top" wrapText="1"/>
    </xf>
    <xf numFmtId="0" fontId="40" fillId="0" borderId="36" xfId="0" applyFont="1" applyBorder="1" applyAlignment="1">
      <alignment horizontal="left" vertical="top" wrapText="1"/>
    </xf>
    <xf numFmtId="0" fontId="40" fillId="22" borderId="37" xfId="0" applyFont="1" applyFill="1" applyBorder="1" applyAlignment="1">
      <alignment horizontal="left" vertical="top" wrapText="1"/>
    </xf>
    <xf numFmtId="9" fontId="77" fillId="48" borderId="37" xfId="0" applyNumberFormat="1" applyFont="1" applyFill="1" applyBorder="1" applyAlignment="1">
      <alignment horizontal="left" vertical="top" wrapText="1"/>
    </xf>
    <xf numFmtId="0" fontId="40" fillId="0" borderId="37" xfId="0" applyFont="1" applyBorder="1" applyAlignment="1">
      <alignment horizontal="left" vertical="top" wrapText="1"/>
    </xf>
    <xf numFmtId="0" fontId="40" fillId="0" borderId="38" xfId="0" applyFont="1" applyBorder="1" applyAlignment="1">
      <alignment horizontal="left" vertical="top" wrapText="1"/>
    </xf>
    <xf numFmtId="0" fontId="40" fillId="0" borderId="35" xfId="0" applyFont="1" applyBorder="1" applyAlignment="1">
      <alignment horizontal="left" vertical="top" wrapText="1"/>
    </xf>
    <xf numFmtId="9" fontId="22" fillId="22" borderId="36" xfId="0" applyNumberFormat="1" applyFont="1" applyFill="1" applyBorder="1" applyAlignment="1">
      <alignment horizontal="left" vertical="top" wrapText="1"/>
    </xf>
    <xf numFmtId="9" fontId="22" fillId="22" borderId="38" xfId="0" applyNumberFormat="1" applyFont="1" applyFill="1" applyBorder="1" applyAlignment="1">
      <alignment horizontal="left" vertical="top" wrapText="1"/>
    </xf>
    <xf numFmtId="0" fontId="50" fillId="10" borderId="37" xfId="0" applyFont="1" applyFill="1" applyBorder="1" applyAlignment="1">
      <alignment horizontal="left" vertical="top" wrapText="1"/>
    </xf>
    <xf numFmtId="0" fontId="50" fillId="12" borderId="37" xfId="0" applyFont="1" applyFill="1" applyBorder="1" applyAlignment="1">
      <alignment horizontal="left" vertical="top" wrapText="1"/>
    </xf>
    <xf numFmtId="0" fontId="44" fillId="13" borderId="37" xfId="0" applyFont="1" applyFill="1" applyBorder="1" applyAlignment="1">
      <alignment horizontal="left" vertical="top" wrapText="1"/>
    </xf>
    <xf numFmtId="0" fontId="78" fillId="2" borderId="37" xfId="0" applyFont="1" applyFill="1" applyBorder="1" applyAlignment="1">
      <alignment horizontal="left" vertical="top" wrapText="1"/>
    </xf>
    <xf numFmtId="0" fontId="50" fillId="9" borderId="37" xfId="0" applyFont="1" applyFill="1" applyBorder="1" applyAlignment="1">
      <alignment horizontal="left" vertical="top" wrapText="1"/>
    </xf>
    <xf numFmtId="0" fontId="57" fillId="26" borderId="37" xfId="0" applyFont="1" applyFill="1" applyBorder="1" applyAlignment="1">
      <alignment horizontal="left" vertical="top" wrapText="1"/>
    </xf>
    <xf numFmtId="0" fontId="46" fillId="32" borderId="37" xfId="0" applyFont="1" applyFill="1" applyBorder="1" applyAlignment="1" applyProtection="1">
      <alignment horizontal="left" vertical="top" wrapText="1"/>
      <protection locked="0"/>
    </xf>
    <xf numFmtId="0" fontId="28" fillId="22" borderId="37" xfId="0" applyFont="1" applyFill="1" applyBorder="1" applyAlignment="1">
      <alignment horizontal="left" vertical="top" wrapText="1"/>
    </xf>
    <xf numFmtId="0" fontId="49" fillId="14" borderId="37" xfId="0" applyFont="1" applyFill="1" applyBorder="1" applyAlignment="1">
      <alignment horizontal="left" vertical="top" wrapText="1"/>
    </xf>
    <xf numFmtId="0" fontId="22" fillId="0" borderId="43" xfId="0" applyFont="1" applyBorder="1" applyAlignment="1">
      <alignment horizontal="left" vertical="top" wrapText="1"/>
    </xf>
    <xf numFmtId="49" fontId="21" fillId="4" borderId="21" xfId="0" applyNumberFormat="1" applyFont="1" applyFill="1" applyBorder="1" applyAlignment="1" applyProtection="1">
      <alignment horizontal="right" wrapText="1"/>
      <protection locked="0"/>
    </xf>
    <xf numFmtId="0" fontId="65" fillId="20" borderId="1" xfId="0" applyFont="1" applyFill="1" applyBorder="1" applyAlignment="1" applyProtection="1">
      <alignment horizontal="right" wrapText="1"/>
      <protection locked="0"/>
    </xf>
    <xf numFmtId="1" fontId="21" fillId="0" borderId="1" xfId="0" applyNumberFormat="1" applyFont="1" applyBorder="1" applyAlignment="1" applyProtection="1">
      <alignment horizontal="right" wrapText="1"/>
      <protection locked="0"/>
    </xf>
    <xf numFmtId="2" fontId="48" fillId="35" borderId="1" xfId="0" applyNumberFormat="1" applyFont="1" applyFill="1" applyBorder="1" applyAlignment="1" applyProtection="1">
      <alignment horizontal="right" wrapText="1"/>
      <protection locked="0"/>
    </xf>
    <xf numFmtId="2" fontId="68" fillId="36" borderId="1" xfId="0" applyNumberFormat="1" applyFont="1" applyFill="1" applyBorder="1" applyAlignment="1" applyProtection="1">
      <alignment horizontal="right" wrapText="1"/>
      <protection locked="0"/>
    </xf>
    <xf numFmtId="165" fontId="21" fillId="0" borderId="1" xfId="0" applyNumberFormat="1" applyFont="1" applyBorder="1" applyAlignment="1" applyProtection="1">
      <alignment horizontal="right" wrapText="1"/>
      <protection locked="0"/>
    </xf>
    <xf numFmtId="2" fontId="49" fillId="37" borderId="1" xfId="0" applyNumberFormat="1" applyFont="1" applyFill="1" applyBorder="1" applyAlignment="1" applyProtection="1">
      <alignment horizontal="right" wrapText="1"/>
      <protection locked="0"/>
    </xf>
    <xf numFmtId="0" fontId="79" fillId="42" borderId="1" xfId="0" applyFont="1" applyFill="1" applyBorder="1" applyAlignment="1">
      <alignment horizontal="right" vertical="top" wrapText="1"/>
    </xf>
    <xf numFmtId="2" fontId="65" fillId="37" borderId="1" xfId="0" applyNumberFormat="1" applyFont="1" applyFill="1" applyBorder="1" applyAlignment="1" applyProtection="1">
      <alignment horizontal="right" wrapText="1"/>
      <protection locked="0"/>
    </xf>
    <xf numFmtId="2" fontId="43" fillId="43" borderId="1" xfId="0" applyNumberFormat="1" applyFont="1" applyFill="1" applyBorder="1" applyAlignment="1" applyProtection="1">
      <alignment horizontal="right" wrapText="1"/>
      <protection locked="0"/>
    </xf>
    <xf numFmtId="2" fontId="21" fillId="0" borderId="24" xfId="3" applyNumberFormat="1" applyFont="1" applyFill="1" applyBorder="1" applyAlignment="1" applyProtection="1">
      <alignment horizontal="right" wrapText="1"/>
      <protection locked="0"/>
    </xf>
    <xf numFmtId="9" fontId="65" fillId="39" borderId="1" xfId="3" applyFont="1" applyFill="1" applyBorder="1" applyAlignment="1" applyProtection="1">
      <alignment horizontal="right" wrapText="1"/>
      <protection locked="0"/>
    </xf>
    <xf numFmtId="1" fontId="41" fillId="43" borderId="1" xfId="0" applyNumberFormat="1" applyFont="1" applyFill="1" applyBorder="1" applyAlignment="1" applyProtection="1">
      <alignment horizontal="right" vertical="center" wrapText="1"/>
      <protection locked="0"/>
    </xf>
    <xf numFmtId="1" fontId="19" fillId="0" borderId="1" xfId="0" applyNumberFormat="1" applyFont="1" applyBorder="1" applyAlignment="1" applyProtection="1">
      <alignment horizontal="right" vertical="center" wrapText="1"/>
      <protection locked="0"/>
    </xf>
    <xf numFmtId="1" fontId="61" fillId="44" borderId="1" xfId="0" applyNumberFormat="1" applyFont="1" applyFill="1" applyBorder="1" applyAlignment="1" applyProtection="1">
      <alignment horizontal="right" vertical="center" wrapText="1"/>
      <protection locked="0"/>
    </xf>
    <xf numFmtId="0" fontId="28" fillId="44" borderId="1" xfId="0" applyFont="1" applyFill="1" applyBorder="1" applyAlignment="1" applyProtection="1">
      <alignment horizontal="right" vertical="top" wrapText="1"/>
      <protection locked="0"/>
    </xf>
    <xf numFmtId="0" fontId="56" fillId="47" borderId="1" xfId="0" applyFont="1" applyFill="1" applyBorder="1" applyAlignment="1" applyProtection="1">
      <alignment horizontal="right" wrapText="1"/>
      <protection locked="0"/>
    </xf>
    <xf numFmtId="0" fontId="41" fillId="48" borderId="1" xfId="0" applyFont="1" applyFill="1" applyBorder="1" applyAlignment="1" applyProtection="1">
      <alignment horizontal="right" wrapText="1"/>
      <protection locked="0"/>
    </xf>
    <xf numFmtId="166" fontId="19" fillId="0" borderId="26" xfId="3" applyNumberFormat="1" applyFont="1" applyFill="1" applyBorder="1" applyAlignment="1" applyProtection="1">
      <alignment horizontal="right" wrapText="1"/>
      <protection locked="0"/>
    </xf>
    <xf numFmtId="1" fontId="19" fillId="22" borderId="1" xfId="0" applyNumberFormat="1" applyFont="1" applyFill="1" applyBorder="1" applyAlignment="1" applyProtection="1">
      <alignment horizontal="right" wrapText="1"/>
      <protection locked="0"/>
    </xf>
    <xf numFmtId="1" fontId="19" fillId="22" borderId="23" xfId="0" applyNumberFormat="1" applyFont="1" applyFill="1" applyBorder="1" applyAlignment="1" applyProtection="1">
      <alignment horizontal="right" wrapText="1"/>
      <protection locked="0"/>
    </xf>
    <xf numFmtId="1" fontId="76" fillId="48" borderId="1" xfId="0" applyNumberFormat="1" applyFont="1" applyFill="1" applyBorder="1" applyAlignment="1" applyProtection="1">
      <alignment horizontal="right" wrapText="1"/>
      <protection locked="0"/>
    </xf>
    <xf numFmtId="1" fontId="41" fillId="48" borderId="1" xfId="0" applyNumberFormat="1" applyFont="1" applyFill="1" applyBorder="1" applyAlignment="1" applyProtection="1">
      <alignment horizontal="right" wrapText="1"/>
      <protection locked="0"/>
    </xf>
    <xf numFmtId="1" fontId="56" fillId="47" borderId="1" xfId="0" applyNumberFormat="1" applyFont="1" applyFill="1" applyBorder="1" applyAlignment="1" applyProtection="1">
      <alignment horizontal="right" wrapText="1"/>
      <protection locked="0"/>
    </xf>
    <xf numFmtId="0" fontId="21" fillId="0" borderId="1" xfId="0" applyFont="1" applyBorder="1" applyAlignment="1" applyProtection="1">
      <alignment horizontal="right" wrapText="1"/>
      <protection locked="0"/>
    </xf>
    <xf numFmtId="0" fontId="46" fillId="10" borderId="1" xfId="0" applyFont="1" applyFill="1" applyBorder="1" applyAlignment="1" applyProtection="1">
      <alignment horizontal="right" wrapText="1"/>
      <protection locked="0"/>
    </xf>
    <xf numFmtId="0" fontId="48" fillId="12" borderId="1" xfId="0" applyFont="1" applyFill="1" applyBorder="1" applyAlignment="1" applyProtection="1">
      <alignment horizontal="right" wrapText="1"/>
      <protection locked="0"/>
    </xf>
    <xf numFmtId="0" fontId="79" fillId="24" borderId="1" xfId="0" applyFont="1" applyFill="1" applyBorder="1" applyAlignment="1">
      <alignment horizontal="right" vertical="top" wrapText="1"/>
    </xf>
    <xf numFmtId="0" fontId="53" fillId="2" borderId="1" xfId="0" applyFont="1" applyFill="1" applyBorder="1" applyAlignment="1" applyProtection="1">
      <alignment horizontal="right" wrapText="1"/>
      <protection locked="0"/>
    </xf>
    <xf numFmtId="0" fontId="43" fillId="13" borderId="1" xfId="0" applyFont="1" applyFill="1" applyBorder="1" applyAlignment="1" applyProtection="1">
      <alignment horizontal="right" wrapText="1"/>
      <protection locked="0"/>
    </xf>
    <xf numFmtId="0" fontId="49" fillId="9" borderId="1" xfId="0" applyFont="1" applyFill="1" applyBorder="1" applyAlignment="1" applyProtection="1">
      <alignment horizontal="right" wrapText="1"/>
      <protection locked="0"/>
    </xf>
    <xf numFmtId="0" fontId="65" fillId="26" borderId="1" xfId="0" applyFont="1" applyFill="1" applyBorder="1" applyAlignment="1" applyProtection="1">
      <alignment horizontal="right" wrapText="1"/>
      <protection locked="0"/>
    </xf>
    <xf numFmtId="0" fontId="46" fillId="32" borderId="1" xfId="0" applyFont="1" applyFill="1" applyBorder="1" applyAlignment="1" applyProtection="1">
      <alignment horizontal="right" wrapText="1"/>
      <protection locked="0"/>
    </xf>
    <xf numFmtId="0" fontId="96" fillId="31" borderId="1" xfId="0" applyFont="1" applyFill="1" applyBorder="1" applyAlignment="1">
      <alignment horizontal="right" vertical="center" wrapText="1"/>
    </xf>
    <xf numFmtId="165" fontId="27" fillId="30" borderId="1" xfId="0" applyNumberFormat="1" applyFont="1" applyFill="1" applyBorder="1" applyAlignment="1" applyProtection="1">
      <alignment horizontal="right" wrapText="1"/>
      <protection locked="0"/>
    </xf>
    <xf numFmtId="0" fontId="49" fillId="14" borderId="1" xfId="0" applyFont="1" applyFill="1" applyBorder="1" applyAlignment="1" applyProtection="1">
      <alignment horizontal="right" wrapText="1"/>
      <protection locked="0"/>
    </xf>
    <xf numFmtId="166" fontId="21" fillId="4" borderId="21" xfId="3" applyNumberFormat="1" applyFont="1" applyFill="1" applyBorder="1" applyAlignment="1" applyProtection="1">
      <alignment horizontal="right" wrapText="1"/>
      <protection locked="0"/>
    </xf>
    <xf numFmtId="166" fontId="21" fillId="4" borderId="22" xfId="3" applyNumberFormat="1" applyFont="1" applyFill="1" applyBorder="1" applyAlignment="1" applyProtection="1">
      <alignment horizontal="right" wrapText="1"/>
      <protection locked="0"/>
    </xf>
    <xf numFmtId="166" fontId="19" fillId="16" borderId="21" xfId="3" applyNumberFormat="1" applyFont="1" applyFill="1" applyBorder="1" applyAlignment="1" applyProtection="1">
      <alignment horizontal="right" wrapText="1"/>
      <protection locked="0"/>
    </xf>
    <xf numFmtId="166" fontId="19" fillId="16" borderId="22" xfId="3" applyNumberFormat="1" applyFont="1" applyFill="1" applyBorder="1" applyAlignment="1" applyProtection="1">
      <alignment horizontal="right" wrapText="1"/>
      <protection locked="0"/>
    </xf>
    <xf numFmtId="166" fontId="21" fillId="4" borderId="20" xfId="3" applyNumberFormat="1" applyFont="1" applyFill="1" applyBorder="1" applyAlignment="1" applyProtection="1">
      <alignment horizontal="right" wrapText="1"/>
      <protection locked="0"/>
    </xf>
    <xf numFmtId="167" fontId="21" fillId="4" borderId="21" xfId="5" applyNumberFormat="1" applyFont="1" applyFill="1" applyBorder="1" applyAlignment="1" applyProtection="1">
      <alignment horizontal="right" wrapText="1"/>
      <protection locked="0"/>
    </xf>
    <xf numFmtId="167" fontId="21" fillId="4" borderId="20" xfId="5" applyNumberFormat="1" applyFont="1" applyFill="1" applyBorder="1" applyAlignment="1" applyProtection="1">
      <alignment horizontal="right" wrapText="1"/>
      <protection locked="0"/>
    </xf>
    <xf numFmtId="167" fontId="21" fillId="4" borderId="22" xfId="5" applyNumberFormat="1" applyFont="1" applyFill="1" applyBorder="1" applyAlignment="1" applyProtection="1">
      <alignment horizontal="right" wrapText="1"/>
      <protection locked="0"/>
    </xf>
    <xf numFmtId="167" fontId="21" fillId="4" borderId="25" xfId="5" applyNumberFormat="1" applyFont="1" applyFill="1" applyBorder="1" applyAlignment="1" applyProtection="1">
      <alignment horizontal="right" wrapText="1"/>
      <protection locked="0"/>
    </xf>
    <xf numFmtId="167" fontId="19" fillId="4" borderId="20" xfId="5" applyNumberFormat="1" applyFont="1" applyFill="1" applyBorder="1" applyAlignment="1" applyProtection="1">
      <alignment horizontal="right" vertical="center" wrapText="1"/>
      <protection locked="0"/>
    </xf>
    <xf numFmtId="167" fontId="19" fillId="4" borderId="21" xfId="5" applyNumberFormat="1" applyFont="1" applyFill="1" applyBorder="1" applyAlignment="1" applyProtection="1">
      <alignment horizontal="right" vertical="center" wrapText="1"/>
      <protection locked="0"/>
    </xf>
    <xf numFmtId="167" fontId="19" fillId="4" borderId="22" xfId="5" applyNumberFormat="1" applyFont="1" applyFill="1" applyBorder="1" applyAlignment="1" applyProtection="1">
      <alignment horizontal="right" vertical="center" wrapText="1"/>
      <protection locked="0"/>
    </xf>
    <xf numFmtId="167" fontId="19" fillId="16" borderId="20" xfId="5" applyNumberFormat="1" applyFont="1" applyFill="1" applyBorder="1" applyAlignment="1" applyProtection="1">
      <alignment horizontal="right" wrapText="1"/>
      <protection locked="0"/>
    </xf>
    <xf numFmtId="167" fontId="19" fillId="16" borderId="21" xfId="5" applyNumberFormat="1" applyFont="1" applyFill="1" applyBorder="1" applyAlignment="1" applyProtection="1">
      <alignment horizontal="right" wrapText="1"/>
      <protection locked="0"/>
    </xf>
    <xf numFmtId="167" fontId="19" fillId="16" borderId="19" xfId="5" applyNumberFormat="1" applyFont="1" applyFill="1" applyBorder="1" applyAlignment="1" applyProtection="1">
      <alignment horizontal="right" wrapText="1"/>
      <protection locked="0"/>
    </xf>
    <xf numFmtId="167" fontId="19" fillId="4" borderId="20" xfId="5" applyNumberFormat="1" applyFont="1" applyFill="1" applyBorder="1" applyAlignment="1" applyProtection="1">
      <alignment horizontal="right" wrapText="1"/>
      <protection locked="0"/>
    </xf>
    <xf numFmtId="167" fontId="19" fillId="4" borderId="21" xfId="5" applyNumberFormat="1" applyFont="1" applyFill="1" applyBorder="1" applyAlignment="1" applyProtection="1">
      <alignment horizontal="right" wrapText="1"/>
      <protection locked="0"/>
    </xf>
    <xf numFmtId="167" fontId="21" fillId="4" borderId="28" xfId="5" applyNumberFormat="1" applyFont="1" applyFill="1" applyBorder="1" applyAlignment="1" applyProtection="1">
      <alignment horizontal="right" wrapText="1"/>
      <protection locked="0"/>
    </xf>
    <xf numFmtId="167" fontId="21" fillId="4" borderId="27" xfId="5" applyNumberFormat="1" applyFont="1" applyFill="1" applyBorder="1" applyAlignment="1" applyProtection="1">
      <alignment horizontal="right" wrapText="1"/>
      <protection locked="0"/>
    </xf>
    <xf numFmtId="167" fontId="21" fillId="4" borderId="42" xfId="5" applyNumberFormat="1" applyFont="1" applyFill="1" applyBorder="1" applyAlignment="1" applyProtection="1">
      <alignment horizontal="right" wrapText="1"/>
      <protection locked="0"/>
    </xf>
    <xf numFmtId="0" fontId="77" fillId="37" borderId="37" xfId="0" applyFont="1" applyFill="1" applyBorder="1" applyAlignment="1">
      <alignment horizontal="left" vertical="top" wrapText="1"/>
    </xf>
    <xf numFmtId="0" fontId="69" fillId="37" borderId="37" xfId="0" applyFont="1" applyFill="1" applyBorder="1" applyAlignment="1">
      <alignment horizontal="left" vertical="top" wrapText="1"/>
    </xf>
    <xf numFmtId="0" fontId="101" fillId="43" borderId="37" xfId="0" applyFont="1" applyFill="1" applyBorder="1" applyAlignment="1">
      <alignment horizontal="left" vertical="top" wrapText="1"/>
    </xf>
    <xf numFmtId="0" fontId="76" fillId="49" borderId="1" xfId="0" applyFont="1" applyFill="1" applyBorder="1" applyAlignment="1">
      <alignment wrapText="1"/>
    </xf>
    <xf numFmtId="1" fontId="76" fillId="49" borderId="1" xfId="0" applyNumberFormat="1" applyFont="1" applyFill="1" applyBorder="1" applyAlignment="1" applyProtection="1">
      <alignment horizontal="right" wrapText="1"/>
      <protection locked="0"/>
    </xf>
    <xf numFmtId="0" fontId="76" fillId="49" borderId="1" xfId="0" applyFont="1" applyFill="1" applyBorder="1" applyAlignment="1">
      <alignment horizontal="left" wrapText="1"/>
    </xf>
    <xf numFmtId="0" fontId="76" fillId="49" borderId="1" xfId="0" applyFont="1" applyFill="1" applyBorder="1" applyAlignment="1" applyProtection="1">
      <alignment horizontal="left"/>
      <protection locked="0"/>
    </xf>
    <xf numFmtId="0" fontId="76" fillId="49" borderId="1" xfId="0" applyFont="1" applyFill="1" applyBorder="1" applyAlignment="1" applyProtection="1">
      <alignment horizontal="left" wrapText="1"/>
      <protection locked="0"/>
    </xf>
    <xf numFmtId="9" fontId="77" fillId="49" borderId="37" xfId="0" applyNumberFormat="1" applyFont="1" applyFill="1" applyBorder="1" applyAlignment="1">
      <alignment horizontal="left" vertical="top" wrapText="1"/>
    </xf>
    <xf numFmtId="0" fontId="76" fillId="49" borderId="8" xfId="0" applyFont="1" applyFill="1" applyBorder="1" applyAlignment="1">
      <alignment horizontal="left" wrapText="1"/>
    </xf>
    <xf numFmtId="0" fontId="76" fillId="49" borderId="8" xfId="0" applyFont="1" applyFill="1" applyBorder="1" applyAlignment="1" applyProtection="1">
      <alignment horizontal="left"/>
      <protection locked="0"/>
    </xf>
    <xf numFmtId="0" fontId="102" fillId="47" borderId="1" xfId="0" applyFont="1" applyFill="1" applyBorder="1" applyAlignment="1">
      <alignment wrapText="1"/>
    </xf>
    <xf numFmtId="1" fontId="102" fillId="47" borderId="1" xfId="0" applyNumberFormat="1" applyFont="1" applyFill="1" applyBorder="1" applyAlignment="1" applyProtection="1">
      <alignment horizontal="right" wrapText="1"/>
      <protection locked="0"/>
    </xf>
    <xf numFmtId="0" fontId="102" fillId="47" borderId="1" xfId="0" applyFont="1" applyFill="1" applyBorder="1" applyAlignment="1">
      <alignment horizontal="left" wrapText="1"/>
    </xf>
    <xf numFmtId="0" fontId="102" fillId="47" borderId="1" xfId="0" applyFont="1" applyFill="1" applyBorder="1" applyAlignment="1" applyProtection="1">
      <alignment horizontal="left"/>
      <protection locked="0"/>
    </xf>
    <xf numFmtId="0" fontId="102" fillId="47" borderId="1" xfId="0" applyFont="1" applyFill="1" applyBorder="1" applyAlignment="1" applyProtection="1">
      <alignment horizontal="left" wrapText="1"/>
      <protection locked="0"/>
    </xf>
    <xf numFmtId="9" fontId="103" fillId="47" borderId="37" xfId="0" applyNumberFormat="1" applyFont="1" applyFill="1" applyBorder="1" applyAlignment="1">
      <alignment horizontal="left" vertical="top" wrapText="1"/>
    </xf>
    <xf numFmtId="0" fontId="102" fillId="22" borderId="1" xfId="0" applyFont="1" applyFill="1" applyBorder="1"/>
    <xf numFmtId="0" fontId="21" fillId="0" borderId="44" xfId="0" applyFont="1" applyBorder="1" applyAlignment="1">
      <alignment horizontal="left" wrapText="1"/>
    </xf>
    <xf numFmtId="167" fontId="21" fillId="4" borderId="44" xfId="5" applyNumberFormat="1" applyFont="1" applyFill="1" applyBorder="1" applyAlignment="1" applyProtection="1">
      <alignment horizontal="right" wrapText="1"/>
      <protection locked="0"/>
    </xf>
    <xf numFmtId="1" fontId="21" fillId="5" borderId="44" xfId="0" applyNumberFormat="1" applyFont="1" applyFill="1" applyBorder="1" applyAlignment="1" applyProtection="1">
      <alignment horizontal="left"/>
      <protection locked="0"/>
    </xf>
    <xf numFmtId="1" fontId="21" fillId="6" borderId="44" xfId="0" applyNumberFormat="1" applyFont="1" applyFill="1" applyBorder="1" applyAlignment="1" applyProtection="1">
      <alignment horizontal="left" wrapText="1"/>
      <protection locked="0"/>
    </xf>
    <xf numFmtId="167" fontId="21" fillId="4" borderId="46" xfId="5" applyNumberFormat="1" applyFont="1" applyFill="1" applyBorder="1" applyAlignment="1" applyProtection="1">
      <alignment horizontal="right" wrapText="1"/>
      <protection locked="0"/>
    </xf>
    <xf numFmtId="1" fontId="21" fillId="5" borderId="46" xfId="0" applyNumberFormat="1" applyFont="1" applyFill="1" applyBorder="1" applyAlignment="1" applyProtection="1">
      <alignment horizontal="left"/>
      <protection locked="0"/>
    </xf>
    <xf numFmtId="1" fontId="21" fillId="6" borderId="46" xfId="0" applyNumberFormat="1" applyFont="1" applyFill="1" applyBorder="1" applyAlignment="1" applyProtection="1">
      <alignment horizontal="left" wrapText="1"/>
      <protection locked="0"/>
    </xf>
    <xf numFmtId="167" fontId="21" fillId="4" borderId="49" xfId="5" applyNumberFormat="1" applyFont="1" applyFill="1" applyBorder="1" applyAlignment="1" applyProtection="1">
      <alignment horizontal="right" wrapText="1"/>
      <protection locked="0"/>
    </xf>
    <xf numFmtId="1" fontId="21" fillId="5" borderId="49" xfId="0" applyNumberFormat="1" applyFont="1" applyFill="1" applyBorder="1" applyAlignment="1" applyProtection="1">
      <alignment horizontal="left"/>
      <protection locked="0"/>
    </xf>
    <xf numFmtId="1" fontId="21" fillId="6" borderId="49" xfId="0" applyNumberFormat="1" applyFont="1" applyFill="1" applyBorder="1" applyAlignment="1" applyProtection="1">
      <alignment horizontal="left" wrapText="1"/>
      <protection locked="0"/>
    </xf>
    <xf numFmtId="1" fontId="21" fillId="0" borderId="24" xfId="0" applyNumberFormat="1" applyFont="1" applyBorder="1" applyAlignment="1" applyProtection="1">
      <alignment horizontal="left" wrapText="1"/>
      <protection locked="0"/>
    </xf>
    <xf numFmtId="0" fontId="19" fillId="0" borderId="28" xfId="0" applyFont="1" applyBorder="1"/>
    <xf numFmtId="0" fontId="19" fillId="22" borderId="51" xfId="0" applyFont="1" applyFill="1" applyBorder="1"/>
    <xf numFmtId="0" fontId="21" fillId="0" borderId="24" xfId="0" applyFont="1" applyBorder="1" applyAlignment="1" applyProtection="1">
      <alignment horizontal="left"/>
      <protection locked="0"/>
    </xf>
    <xf numFmtId="1" fontId="21" fillId="23" borderId="24" xfId="0" applyNumberFormat="1" applyFont="1" applyFill="1" applyBorder="1" applyAlignment="1" applyProtection="1">
      <alignment horizontal="left" wrapText="1"/>
      <protection locked="0"/>
    </xf>
    <xf numFmtId="0" fontId="90" fillId="50" borderId="1" xfId="4" applyFont="1" applyFill="1" applyAlignment="1">
      <alignment horizontal="left" wrapText="1"/>
    </xf>
    <xf numFmtId="0" fontId="90" fillId="50" borderId="1" xfId="4" applyFont="1" applyFill="1" applyAlignment="1">
      <alignment horizontal="left"/>
    </xf>
    <xf numFmtId="0" fontId="91" fillId="52" borderId="1" xfId="4" applyFont="1" applyFill="1" applyAlignment="1">
      <alignment horizontal="left" wrapText="1"/>
    </xf>
    <xf numFmtId="0" fontId="91" fillId="52" borderId="1" xfId="4" applyFont="1" applyFill="1" applyAlignment="1">
      <alignment horizontal="left"/>
    </xf>
    <xf numFmtId="0" fontId="90" fillId="51" borderId="1" xfId="4" applyFont="1" applyFill="1" applyAlignment="1">
      <alignment horizontal="left" wrapText="1"/>
    </xf>
    <xf numFmtId="0" fontId="90" fillId="51" borderId="1" xfId="4" applyFont="1" applyFill="1" applyAlignment="1">
      <alignment horizontal="left"/>
    </xf>
    <xf numFmtId="0" fontId="93" fillId="43" borderId="1" xfId="4" applyFont="1" applyFill="1" applyAlignment="1">
      <alignment horizontal="left"/>
    </xf>
    <xf numFmtId="0" fontId="98" fillId="43" borderId="1" xfId="4" applyFont="1" applyFill="1" applyAlignment="1">
      <alignment horizontal="left"/>
    </xf>
    <xf numFmtId="0" fontId="93" fillId="43" borderId="1" xfId="4" applyFont="1" applyFill="1" applyAlignment="1">
      <alignment horizontal="left" wrapText="1"/>
    </xf>
    <xf numFmtId="0" fontId="109" fillId="43" borderId="1" xfId="4" applyFont="1" applyFill="1" applyAlignment="1">
      <alignment horizontal="left" wrapText="1"/>
    </xf>
    <xf numFmtId="0" fontId="107" fillId="43" borderId="1" xfId="4" applyFont="1" applyFill="1" applyAlignment="1">
      <alignment horizontal="left" wrapText="1"/>
    </xf>
    <xf numFmtId="0" fontId="87" fillId="8" borderId="1" xfId="4" applyFont="1" applyFill="1" applyAlignment="1" applyProtection="1">
      <alignment horizontal="left"/>
      <protection locked="0"/>
    </xf>
    <xf numFmtId="0" fontId="87" fillId="33" borderId="1" xfId="4" applyFont="1" applyFill="1" applyAlignment="1" applyProtection="1">
      <alignment horizontal="left"/>
      <protection locked="0"/>
    </xf>
    <xf numFmtId="0" fontId="113" fillId="13" borderId="1" xfId="4" applyFont="1" applyFill="1" applyAlignment="1">
      <alignment horizontal="left" wrapText="1"/>
    </xf>
    <xf numFmtId="0" fontId="113" fillId="13" borderId="1" xfId="4" applyFont="1" applyFill="1" applyAlignment="1">
      <alignment horizontal="left" vertical="center" wrapText="1"/>
    </xf>
    <xf numFmtId="0" fontId="87" fillId="33" borderId="1" xfId="4" applyFont="1" applyFill="1" applyAlignment="1">
      <alignment horizontal="left" wrapText="1"/>
    </xf>
    <xf numFmtId="0" fontId="17" fillId="0" borderId="1" xfId="4" applyFont="1"/>
    <xf numFmtId="0" fontId="88" fillId="53" borderId="1" xfId="4" applyFont="1" applyFill="1" applyAlignment="1">
      <alignment horizontal="left" vertical="center" wrapText="1"/>
    </xf>
    <xf numFmtId="0" fontId="109" fillId="53" borderId="1" xfId="4" applyFont="1" applyFill="1" applyAlignment="1">
      <alignment horizontal="left" vertical="center" wrapText="1"/>
    </xf>
    <xf numFmtId="0" fontId="114" fillId="53" borderId="1" xfId="4" applyFont="1" applyFill="1" applyAlignment="1">
      <alignment horizontal="left" vertical="center"/>
    </xf>
    <xf numFmtId="0" fontId="63" fillId="53" borderId="1" xfId="4" applyFont="1" applyFill="1" applyAlignment="1">
      <alignment horizontal="left" vertical="center" wrapText="1"/>
    </xf>
    <xf numFmtId="0" fontId="116" fillId="54" borderId="1" xfId="4" applyFont="1" applyFill="1" applyAlignment="1">
      <alignment vertical="center" wrapText="1"/>
    </xf>
    <xf numFmtId="0" fontId="97" fillId="8" borderId="1" xfId="4" applyFont="1" applyFill="1" applyAlignment="1" applyProtection="1">
      <alignment horizontal="left" vertical="center"/>
      <protection locked="0"/>
    </xf>
    <xf numFmtId="0" fontId="104" fillId="51" borderId="1" xfId="4" applyFont="1" applyFill="1" applyAlignment="1">
      <alignment horizontal="left" vertical="center" wrapText="1"/>
    </xf>
    <xf numFmtId="0" fontId="106" fillId="51" borderId="1" xfId="4" applyFont="1" applyFill="1" applyAlignment="1">
      <alignment horizontal="left" vertical="center"/>
    </xf>
    <xf numFmtId="0" fontId="104" fillId="51" borderId="1" xfId="4" applyFont="1" applyFill="1" applyAlignment="1">
      <alignment horizontal="left" vertical="center"/>
    </xf>
    <xf numFmtId="0" fontId="87" fillId="60" borderId="1" xfId="4" applyFont="1" applyFill="1" applyAlignment="1">
      <alignment horizontal="left" vertical="center" wrapText="1"/>
    </xf>
    <xf numFmtId="0" fontId="97" fillId="60" borderId="1" xfId="4" applyFont="1" applyFill="1" applyAlignment="1">
      <alignment horizontal="left" vertical="center"/>
    </xf>
    <xf numFmtId="0" fontId="88" fillId="60" borderId="1" xfId="4" applyFont="1" applyFill="1" applyAlignment="1">
      <alignment horizontal="left" vertical="center" wrapText="1"/>
    </xf>
    <xf numFmtId="0" fontId="94" fillId="61" borderId="1" xfId="4" applyFont="1" applyFill="1" applyAlignment="1">
      <alignment horizontal="left"/>
    </xf>
    <xf numFmtId="0" fontId="118" fillId="2" borderId="1" xfId="4" applyFont="1" applyFill="1" applyAlignment="1" applyProtection="1">
      <alignment horizontal="left" vertical="center"/>
      <protection locked="0"/>
    </xf>
    <xf numFmtId="0" fontId="104" fillId="2" borderId="1" xfId="4" applyFont="1" applyFill="1" applyAlignment="1" applyProtection="1">
      <alignment horizontal="left" vertical="center"/>
      <protection locked="0"/>
    </xf>
    <xf numFmtId="0" fontId="118" fillId="2" borderId="1" xfId="4" applyFont="1" applyFill="1" applyAlignment="1" applyProtection="1">
      <alignment horizontal="left" vertical="center" wrapText="1"/>
      <protection locked="0"/>
    </xf>
    <xf numFmtId="0" fontId="87" fillId="2" borderId="1" xfId="4" applyFont="1" applyFill="1" applyAlignment="1" applyProtection="1">
      <alignment vertical="center"/>
      <protection locked="0"/>
    </xf>
    <xf numFmtId="0" fontId="88" fillId="2" borderId="1" xfId="4" applyFont="1" applyFill="1" applyAlignment="1" applyProtection="1">
      <alignment vertical="center"/>
      <protection locked="0"/>
    </xf>
    <xf numFmtId="0" fontId="88" fillId="2" borderId="1" xfId="4" applyFont="1" applyFill="1" applyAlignment="1" applyProtection="1">
      <alignment vertical="center" wrapText="1"/>
      <protection locked="0"/>
    </xf>
    <xf numFmtId="0" fontId="34" fillId="2" borderId="1" xfId="4" applyFont="1" applyFill="1" applyAlignment="1" applyProtection="1">
      <alignment horizontal="left" vertical="center"/>
      <protection locked="0"/>
    </xf>
    <xf numFmtId="0" fontId="87" fillId="8" borderId="1" xfId="4" applyFont="1" applyFill="1" applyAlignment="1" applyProtection="1">
      <alignment horizontal="left" vertical="center"/>
      <protection locked="0"/>
    </xf>
    <xf numFmtId="0" fontId="120" fillId="8" borderId="1" xfId="4" applyFont="1" applyFill="1" applyAlignment="1" applyProtection="1">
      <alignment horizontal="left" vertical="center" wrapText="1"/>
      <protection locked="0"/>
    </xf>
    <xf numFmtId="0" fontId="105" fillId="0" borderId="1" xfId="4" applyFont="1" applyAlignment="1" applyProtection="1">
      <alignment horizontal="left" vertical="center" wrapText="1"/>
      <protection locked="0"/>
    </xf>
    <xf numFmtId="0" fontId="121" fillId="0" borderId="1" xfId="4" applyFont="1" applyAlignment="1" applyProtection="1">
      <alignment vertical="center"/>
      <protection locked="0"/>
    </xf>
    <xf numFmtId="0" fontId="116" fillId="0" borderId="1" xfId="4" applyFont="1" applyAlignment="1" applyProtection="1">
      <alignment horizontal="left" vertical="center" wrapText="1"/>
      <protection locked="0"/>
    </xf>
    <xf numFmtId="0" fontId="87" fillId="8" borderId="1" xfId="4" applyFont="1" applyFill="1" applyAlignment="1" applyProtection="1">
      <alignment horizontal="left" vertical="center" wrapText="1"/>
      <protection locked="0"/>
    </xf>
    <xf numFmtId="0" fontId="87" fillId="60" borderId="1" xfId="4" applyFont="1" applyFill="1" applyAlignment="1">
      <alignment horizontal="left" vertical="center"/>
    </xf>
    <xf numFmtId="0" fontId="88" fillId="60" borderId="1" xfId="4" applyFont="1" applyFill="1" applyAlignment="1">
      <alignment horizontal="left" vertical="center"/>
    </xf>
    <xf numFmtId="0" fontId="88" fillId="53" borderId="1" xfId="4" applyFont="1" applyFill="1" applyAlignment="1">
      <alignment horizontal="left" vertical="center"/>
    </xf>
    <xf numFmtId="0" fontId="122" fillId="35" borderId="1" xfId="4" applyFont="1" applyFill="1" applyAlignment="1">
      <alignment horizontal="left" wrapText="1"/>
    </xf>
    <xf numFmtId="0" fontId="122" fillId="35" borderId="1" xfId="4" applyFont="1" applyFill="1" applyAlignment="1">
      <alignment horizontal="left"/>
    </xf>
    <xf numFmtId="0" fontId="109" fillId="35" borderId="1" xfId="4" applyFont="1" applyFill="1" applyAlignment="1">
      <alignment horizontal="left" vertical="center" wrapText="1"/>
    </xf>
    <xf numFmtId="0" fontId="121" fillId="0" borderId="1" xfId="4" applyFont="1" applyAlignment="1">
      <alignment vertical="center" wrapText="1"/>
    </xf>
    <xf numFmtId="0" fontId="114" fillId="35" borderId="1" xfId="4" applyFont="1" applyFill="1" applyAlignment="1">
      <alignment horizontal="left" vertical="center"/>
    </xf>
    <xf numFmtId="0" fontId="123" fillId="48" borderId="34" xfId="0" applyFont="1" applyFill="1" applyBorder="1" applyAlignment="1">
      <alignment horizontal="left"/>
    </xf>
    <xf numFmtId="0" fontId="111" fillId="48" borderId="34" xfId="0" applyFont="1" applyFill="1" applyBorder="1" applyAlignment="1">
      <alignment horizontal="left"/>
    </xf>
    <xf numFmtId="0" fontId="32" fillId="0" borderId="1" xfId="4" applyFont="1"/>
    <xf numFmtId="0" fontId="125" fillId="35" borderId="1" xfId="0" applyFont="1" applyFill="1" applyBorder="1" applyAlignment="1">
      <alignment horizontal="left" vertical="center"/>
    </xf>
    <xf numFmtId="0" fontId="114" fillId="36" borderId="1" xfId="0" applyFont="1" applyFill="1" applyBorder="1" applyAlignment="1">
      <alignment horizontal="left"/>
    </xf>
    <xf numFmtId="0" fontId="98" fillId="50" borderId="1" xfId="4" applyFont="1" applyFill="1" applyAlignment="1">
      <alignment horizontal="left"/>
    </xf>
    <xf numFmtId="0" fontId="114" fillId="51" borderId="1" xfId="4" applyFont="1" applyFill="1" applyAlignment="1">
      <alignment horizontal="left"/>
    </xf>
    <xf numFmtId="0" fontId="114" fillId="43" borderId="1" xfId="4" applyFont="1" applyFill="1" applyAlignment="1">
      <alignment horizontal="left"/>
    </xf>
    <xf numFmtId="0" fontId="121" fillId="0" borderId="1" xfId="4" applyFont="1"/>
    <xf numFmtId="0" fontId="51" fillId="0" borderId="1" xfId="4" applyFont="1" applyAlignment="1">
      <alignment horizontal="left" vertical="center" wrapText="1"/>
    </xf>
    <xf numFmtId="0" fontId="112" fillId="0" borderId="1" xfId="4" applyFont="1" applyAlignment="1">
      <alignment horizontal="left" vertical="center" wrapText="1"/>
    </xf>
    <xf numFmtId="0" fontId="116" fillId="0" borderId="1" xfId="4" applyFont="1" applyAlignment="1">
      <alignment horizontal="left" vertical="top" wrapText="1"/>
    </xf>
    <xf numFmtId="0" fontId="121" fillId="0" borderId="1" xfId="4" applyFont="1" applyAlignment="1">
      <alignment vertical="center"/>
    </xf>
    <xf numFmtId="0" fontId="116" fillId="0" borderId="1" xfId="4" applyFont="1" applyAlignment="1">
      <alignment horizontal="left" vertical="center" wrapText="1"/>
    </xf>
    <xf numFmtId="0" fontId="17" fillId="0" borderId="1" xfId="4" applyFont="1" applyAlignment="1">
      <alignment vertical="center"/>
    </xf>
    <xf numFmtId="0" fontId="127" fillId="0" borderId="1" xfId="4" applyFont="1"/>
    <xf numFmtId="0" fontId="105" fillId="0" borderId="1" xfId="4" applyFont="1" applyAlignment="1">
      <alignment horizontal="left" wrapText="1"/>
    </xf>
    <xf numFmtId="0" fontId="128" fillId="0" borderId="1" xfId="4" applyFont="1" applyAlignment="1">
      <alignment horizontal="left" vertical="top" wrapText="1"/>
    </xf>
    <xf numFmtId="0" fontId="128" fillId="0" borderId="1" xfId="4" applyFont="1" applyAlignment="1">
      <alignment horizontal="left" vertical="center" wrapText="1"/>
    </xf>
    <xf numFmtId="0" fontId="114" fillId="37" borderId="1" xfId="0" applyFont="1" applyFill="1" applyBorder="1" applyAlignment="1">
      <alignment horizontal="left" vertical="center"/>
    </xf>
    <xf numFmtId="0" fontId="108" fillId="37" borderId="1" xfId="0" applyFont="1" applyFill="1" applyBorder="1" applyAlignment="1">
      <alignment horizontal="left" vertical="center"/>
    </xf>
    <xf numFmtId="0" fontId="105" fillId="0" borderId="1" xfId="4" applyFont="1" applyAlignment="1">
      <alignment horizontal="left" vertical="center" wrapText="1"/>
    </xf>
    <xf numFmtId="0" fontId="121" fillId="0" borderId="1" xfId="4" applyFont="1" applyAlignment="1">
      <alignment horizontal="left" vertical="center" wrapText="1"/>
    </xf>
    <xf numFmtId="0" fontId="109" fillId="51" borderId="1" xfId="4" applyFont="1" applyFill="1" applyAlignment="1">
      <alignment horizontal="left" wrapText="1"/>
    </xf>
    <xf numFmtId="0" fontId="116" fillId="0" borderId="1" xfId="4" applyFont="1" applyAlignment="1">
      <alignment vertical="center" wrapText="1"/>
    </xf>
    <xf numFmtId="0" fontId="87" fillId="0" borderId="1" xfId="4" applyFont="1" applyAlignment="1">
      <alignment horizontal="left"/>
    </xf>
    <xf numFmtId="0" fontId="87" fillId="0" borderId="1" xfId="4" applyFont="1" applyAlignment="1">
      <alignment horizontal="left" wrapText="1"/>
    </xf>
    <xf numFmtId="0" fontId="106" fillId="44" borderId="1" xfId="0" applyFont="1" applyFill="1" applyBorder="1" applyAlignment="1">
      <alignment horizontal="left" vertical="center"/>
    </xf>
    <xf numFmtId="0" fontId="131" fillId="44" borderId="1" xfId="0" applyFont="1" applyFill="1" applyBorder="1" applyAlignment="1">
      <alignment horizontal="left" vertical="center"/>
    </xf>
    <xf numFmtId="0" fontId="86" fillId="44" borderId="1" xfId="4" applyFont="1" applyFill="1" applyAlignment="1">
      <alignment horizontal="left" wrapText="1"/>
    </xf>
    <xf numFmtId="0" fontId="86" fillId="44" borderId="1" xfId="4" applyFont="1" applyFill="1" applyAlignment="1">
      <alignment horizontal="left"/>
    </xf>
    <xf numFmtId="0" fontId="87" fillId="44" borderId="1" xfId="4" applyFont="1" applyFill="1" applyAlignment="1">
      <alignment horizontal="left"/>
    </xf>
    <xf numFmtId="0" fontId="97" fillId="44" borderId="1" xfId="4" applyFont="1" applyFill="1" applyAlignment="1">
      <alignment horizontal="left"/>
    </xf>
    <xf numFmtId="0" fontId="87" fillId="44" borderId="1" xfId="4" applyFont="1" applyFill="1" applyAlignment="1">
      <alignment horizontal="left" wrapText="1"/>
    </xf>
    <xf numFmtId="0" fontId="51" fillId="47" borderId="1" xfId="0" applyFont="1" applyFill="1" applyBorder="1" applyAlignment="1">
      <alignment vertical="center" wrapText="1"/>
    </xf>
    <xf numFmtId="0" fontId="104" fillId="56" borderId="1" xfId="4" applyFont="1" applyFill="1" applyAlignment="1">
      <alignment horizontal="left"/>
    </xf>
    <xf numFmtId="0" fontId="106" fillId="57" borderId="1" xfId="4" applyFont="1" applyFill="1" applyAlignment="1">
      <alignment horizontal="left"/>
    </xf>
    <xf numFmtId="0" fontId="76" fillId="57" borderId="1" xfId="4" applyFont="1" applyFill="1" applyAlignment="1">
      <alignment horizontal="left" wrapText="1"/>
    </xf>
    <xf numFmtId="0" fontId="124" fillId="57" borderId="1" xfId="4" applyFont="1" applyFill="1" applyAlignment="1">
      <alignment horizontal="left"/>
    </xf>
    <xf numFmtId="0" fontId="132" fillId="0" borderId="1" xfId="4" applyFont="1" applyAlignment="1">
      <alignment horizontal="left" vertical="top" wrapText="1"/>
    </xf>
    <xf numFmtId="0" fontId="87" fillId="44" borderId="1" xfId="4" applyFont="1" applyFill="1" applyAlignment="1">
      <alignment horizontal="left" vertical="center"/>
    </xf>
    <xf numFmtId="0" fontId="97" fillId="44" borderId="1" xfId="4" applyFont="1" applyFill="1" applyAlignment="1">
      <alignment horizontal="left" vertical="center"/>
    </xf>
    <xf numFmtId="0" fontId="87" fillId="44" borderId="1" xfId="4" applyFont="1" applyFill="1" applyAlignment="1">
      <alignment horizontal="left" vertical="center" wrapText="1"/>
    </xf>
    <xf numFmtId="0" fontId="105" fillId="0" borderId="1" xfId="4" applyFont="1" applyAlignment="1">
      <alignment vertical="center" wrapText="1"/>
    </xf>
    <xf numFmtId="0" fontId="110" fillId="60" borderId="1" xfId="4" applyFont="1" applyFill="1" applyAlignment="1">
      <alignment horizontal="left" vertical="center" wrapText="1"/>
    </xf>
    <xf numFmtId="0" fontId="92" fillId="58" borderId="1" xfId="4" applyFont="1" applyFill="1" applyAlignment="1">
      <alignment horizontal="left" vertical="top" wrapText="1"/>
    </xf>
    <xf numFmtId="0" fontId="112" fillId="58" borderId="1" xfId="4" applyFont="1" applyFill="1" applyAlignment="1">
      <alignment horizontal="left" vertical="top" wrapText="1"/>
    </xf>
    <xf numFmtId="0" fontId="112" fillId="58" borderId="1" xfId="4" applyFont="1" applyFill="1"/>
    <xf numFmtId="0" fontId="116" fillId="54" borderId="1" xfId="4" applyFont="1" applyFill="1" applyAlignment="1">
      <alignment horizontal="left" vertical="center" wrapText="1"/>
    </xf>
    <xf numFmtId="0" fontId="17" fillId="54" borderId="1" xfId="4" applyFont="1" applyFill="1" applyAlignment="1">
      <alignment vertical="center"/>
    </xf>
    <xf numFmtId="0" fontId="116" fillId="58" borderId="1" xfId="4" applyFont="1" applyFill="1" applyAlignment="1">
      <alignment horizontal="left" vertical="top" wrapText="1"/>
    </xf>
    <xf numFmtId="0" fontId="17" fillId="58" borderId="1" xfId="4" applyFont="1" applyFill="1"/>
    <xf numFmtId="0" fontId="121" fillId="0" borderId="1" xfId="4" applyFont="1" applyAlignment="1">
      <alignment horizontal="left" vertical="top" wrapText="1"/>
    </xf>
    <xf numFmtId="0" fontId="119" fillId="57" borderId="1" xfId="4" applyFont="1" applyFill="1" applyAlignment="1">
      <alignment horizontal="left"/>
    </xf>
    <xf numFmtId="0" fontId="88" fillId="62" borderId="1" xfId="4" applyFont="1" applyFill="1" applyAlignment="1">
      <alignment horizontal="left" vertical="center" wrapText="1"/>
    </xf>
    <xf numFmtId="0" fontId="88" fillId="62" borderId="1" xfId="4" applyFont="1" applyFill="1" applyAlignment="1">
      <alignment horizontal="left" vertical="center"/>
    </xf>
    <xf numFmtId="0" fontId="90" fillId="63" borderId="1" xfId="4" applyFont="1" applyFill="1" applyAlignment="1">
      <alignment horizontal="left"/>
    </xf>
    <xf numFmtId="0" fontId="121" fillId="0" borderId="1" xfId="4" applyFont="1" applyAlignment="1">
      <alignment vertical="top" wrapText="1"/>
    </xf>
    <xf numFmtId="0" fontId="87" fillId="2" borderId="1" xfId="4" applyFont="1" applyFill="1" applyAlignment="1">
      <alignment horizontal="left"/>
    </xf>
    <xf numFmtId="0" fontId="87" fillId="2" borderId="1" xfId="4" applyFont="1" applyFill="1" applyAlignment="1">
      <alignment horizontal="left" wrapText="1"/>
    </xf>
    <xf numFmtId="0" fontId="97" fillId="2" borderId="1" xfId="4" applyFont="1" applyFill="1" applyAlignment="1">
      <alignment horizontal="left"/>
    </xf>
    <xf numFmtId="0" fontId="97" fillId="2" borderId="1" xfId="4" applyFont="1" applyFill="1" applyAlignment="1">
      <alignment horizontal="left" vertical="center"/>
    </xf>
    <xf numFmtId="0" fontId="87" fillId="2" borderId="1" xfId="4" applyFont="1" applyFill="1" applyAlignment="1">
      <alignment horizontal="left" vertical="center" wrapText="1"/>
    </xf>
    <xf numFmtId="0" fontId="88" fillId="2" borderId="1" xfId="4" applyFont="1" applyFill="1" applyAlignment="1">
      <alignment horizontal="left" vertical="center"/>
    </xf>
    <xf numFmtId="0" fontId="121" fillId="0" borderId="1" xfId="4" applyFont="1" applyAlignment="1">
      <alignment horizontal="right"/>
    </xf>
    <xf numFmtId="0" fontId="97" fillId="34" borderId="1" xfId="4" applyFont="1" applyFill="1" applyAlignment="1">
      <alignment horizontal="left"/>
    </xf>
    <xf numFmtId="0" fontId="87" fillId="14" borderId="1" xfId="4" applyFont="1" applyFill="1" applyAlignment="1">
      <alignment horizontal="left"/>
    </xf>
    <xf numFmtId="0" fontId="87" fillId="14" borderId="1" xfId="4" applyFont="1" applyFill="1" applyAlignment="1">
      <alignment horizontal="left" wrapText="1"/>
    </xf>
    <xf numFmtId="0" fontId="89" fillId="0" borderId="1" xfId="4" applyFont="1"/>
    <xf numFmtId="0" fontId="89" fillId="0" borderId="1" xfId="4" applyFont="1" applyAlignment="1">
      <alignment wrapText="1"/>
    </xf>
    <xf numFmtId="0" fontId="87" fillId="0" borderId="1" xfId="4" applyFont="1" applyAlignment="1">
      <alignment horizontal="center" vertical="top" wrapText="1"/>
    </xf>
    <xf numFmtId="0" fontId="87" fillId="0" borderId="1" xfId="4" applyFont="1" applyAlignment="1">
      <alignment horizontal="left" vertical="top" wrapText="1"/>
    </xf>
    <xf numFmtId="0" fontId="32" fillId="0" borderId="1" xfId="4" applyFont="1" applyAlignment="1">
      <alignment horizontal="center" vertical="top" wrapText="1"/>
    </xf>
    <xf numFmtId="0" fontId="32" fillId="0" borderId="1" xfId="4" applyFont="1" applyAlignment="1">
      <alignment horizontal="left" vertical="top" wrapText="1"/>
    </xf>
    <xf numFmtId="0" fontId="17" fillId="0" borderId="1" xfId="4" applyFont="1" applyAlignment="1">
      <alignment wrapText="1"/>
    </xf>
    <xf numFmtId="0" fontId="87" fillId="10" borderId="1" xfId="4" applyFont="1" applyFill="1" applyAlignment="1">
      <alignment horizontal="left" vertical="center"/>
    </xf>
    <xf numFmtId="0" fontId="97" fillId="11" borderId="1" xfId="4" applyFont="1" applyFill="1" applyAlignment="1">
      <alignment horizontal="left" vertical="center"/>
    </xf>
    <xf numFmtId="0" fontId="86" fillId="11" borderId="1" xfId="4" applyFont="1" applyFill="1" applyAlignment="1">
      <alignment horizontal="left" vertical="center" wrapText="1"/>
    </xf>
    <xf numFmtId="0" fontId="87" fillId="10" borderId="1" xfId="4" applyFont="1" applyFill="1" applyAlignment="1">
      <alignment horizontal="left" vertical="center" wrapText="1"/>
    </xf>
    <xf numFmtId="0" fontId="121" fillId="64" borderId="1" xfId="4" applyFont="1" applyFill="1" applyAlignment="1">
      <alignment vertical="center" wrapText="1"/>
    </xf>
    <xf numFmtId="0" fontId="97" fillId="11" borderId="1" xfId="4" applyFont="1" applyFill="1" applyAlignment="1">
      <alignment horizontal="left" vertical="center" wrapText="1"/>
    </xf>
    <xf numFmtId="0" fontId="97" fillId="66" borderId="1" xfId="4" applyFont="1" applyFill="1" applyAlignment="1">
      <alignment horizontal="left"/>
    </xf>
    <xf numFmtId="0" fontId="86" fillId="66" borderId="1" xfId="4" applyFont="1" applyFill="1" applyAlignment="1">
      <alignment horizontal="left"/>
    </xf>
    <xf numFmtId="0" fontId="87" fillId="2" borderId="1" xfId="4" applyFont="1" applyFill="1" applyAlignment="1">
      <alignment horizontal="left" vertical="center"/>
    </xf>
    <xf numFmtId="0" fontId="135" fillId="22" borderId="1" xfId="4" applyFont="1" applyFill="1" applyAlignment="1">
      <alignment horizontal="left" vertical="top" wrapText="1"/>
    </xf>
    <xf numFmtId="0" fontId="135" fillId="68" borderId="1" xfId="4" applyFont="1" applyFill="1" applyAlignment="1">
      <alignment horizontal="left" vertical="top" wrapText="1"/>
    </xf>
    <xf numFmtId="0" fontId="97" fillId="51" borderId="1" xfId="4" applyFont="1" applyFill="1" applyAlignment="1">
      <alignment horizontal="left" vertical="center"/>
    </xf>
    <xf numFmtId="0" fontId="87" fillId="51" borderId="1" xfId="4" applyFont="1" applyFill="1" applyAlignment="1">
      <alignment horizontal="left" vertical="center" wrapText="1"/>
    </xf>
    <xf numFmtId="0" fontId="129" fillId="42" borderId="1" xfId="0" applyFont="1" applyFill="1" applyBorder="1" applyAlignment="1">
      <alignment horizontal="right" vertical="center" wrapText="1"/>
    </xf>
    <xf numFmtId="0" fontId="129" fillId="22" borderId="1" xfId="0" applyFont="1" applyFill="1" applyBorder="1" applyAlignment="1">
      <alignment horizontal="right" vertical="center" wrapText="1"/>
    </xf>
    <xf numFmtId="0" fontId="97" fillId="65" borderId="1" xfId="4" applyFont="1" applyFill="1" applyAlignment="1">
      <alignment horizontal="left" vertical="center"/>
    </xf>
    <xf numFmtId="0" fontId="87" fillId="65" borderId="1" xfId="4" applyFont="1" applyFill="1" applyAlignment="1">
      <alignment horizontal="left" vertical="center"/>
    </xf>
    <xf numFmtId="0" fontId="87" fillId="65" borderId="1" xfId="4" applyFont="1" applyFill="1" applyAlignment="1">
      <alignment horizontal="left" vertical="center" wrapText="1"/>
    </xf>
    <xf numFmtId="0" fontId="121" fillId="0" borderId="1" xfId="4" applyFont="1" applyAlignment="1">
      <alignment horizontal="right" vertical="center"/>
    </xf>
    <xf numFmtId="0" fontId="88" fillId="67" borderId="1" xfId="4" applyFont="1" applyFill="1" applyAlignment="1">
      <alignment horizontal="left" vertical="center"/>
    </xf>
    <xf numFmtId="0" fontId="121" fillId="67" borderId="1" xfId="4" applyFont="1" applyFill="1" applyAlignment="1">
      <alignment vertical="center" wrapText="1"/>
    </xf>
    <xf numFmtId="0" fontId="95" fillId="13" borderId="1" xfId="4" applyFont="1" applyFill="1" applyAlignment="1">
      <alignment horizontal="left" vertical="center"/>
    </xf>
    <xf numFmtId="0" fontId="95" fillId="69" borderId="1" xfId="4" applyFont="1" applyFill="1" applyAlignment="1">
      <alignment horizontal="left" vertical="center"/>
    </xf>
    <xf numFmtId="0" fontId="121" fillId="69" borderId="1" xfId="4" applyFont="1" applyFill="1" applyAlignment="1">
      <alignment horizontal="left" vertical="center" wrapText="1"/>
    </xf>
    <xf numFmtId="0" fontId="121" fillId="69" borderId="1" xfId="4" applyFont="1" applyFill="1" applyAlignment="1">
      <alignment vertical="center" wrapText="1"/>
    </xf>
    <xf numFmtId="0" fontId="87" fillId="34" borderId="1" xfId="4" applyFont="1" applyFill="1" applyAlignment="1">
      <alignment horizontal="left" vertical="center"/>
    </xf>
    <xf numFmtId="0" fontId="97" fillId="34" borderId="1" xfId="4" applyFont="1" applyFill="1" applyAlignment="1">
      <alignment horizontal="left" vertical="center"/>
    </xf>
    <xf numFmtId="0" fontId="87" fillId="34" borderId="1" xfId="4" applyFont="1" applyFill="1" applyAlignment="1">
      <alignment horizontal="left" vertical="center" wrapText="1"/>
    </xf>
    <xf numFmtId="0" fontId="97" fillId="70" borderId="1" xfId="4" applyFont="1" applyFill="1" applyAlignment="1">
      <alignment horizontal="left"/>
    </xf>
    <xf numFmtId="0" fontId="87" fillId="70" borderId="1" xfId="4" applyFont="1" applyFill="1" applyAlignment="1">
      <alignment horizontal="left" wrapText="1"/>
    </xf>
    <xf numFmtId="0" fontId="86" fillId="70" borderId="1" xfId="4" applyFont="1" applyFill="1" applyAlignment="1">
      <alignment horizontal="left" wrapText="1"/>
    </xf>
    <xf numFmtId="0" fontId="87" fillId="14" borderId="1" xfId="4" applyFont="1" applyFill="1" applyAlignment="1">
      <alignment horizontal="left" vertical="center"/>
    </xf>
    <xf numFmtId="0" fontId="97" fillId="14" borderId="1" xfId="4" applyFont="1" applyFill="1" applyAlignment="1">
      <alignment horizontal="left" vertical="center"/>
    </xf>
    <xf numFmtId="0" fontId="87" fillId="14" borderId="1" xfId="4" applyFont="1" applyFill="1" applyAlignment="1">
      <alignment horizontal="left" vertical="center" wrapText="1"/>
    </xf>
    <xf numFmtId="0" fontId="104" fillId="51" borderId="1" xfId="4" applyFont="1" applyFill="1" applyAlignment="1">
      <alignment horizontal="left"/>
    </xf>
    <xf numFmtId="0" fontId="104" fillId="43" borderId="1" xfId="4" applyFont="1" applyFill="1" applyAlignment="1">
      <alignment horizontal="left"/>
    </xf>
    <xf numFmtId="0" fontId="104" fillId="35" borderId="34" xfId="0" applyFont="1" applyFill="1" applyBorder="1" applyAlignment="1">
      <alignment horizontal="left" vertical="center"/>
    </xf>
    <xf numFmtId="0" fontId="104" fillId="36" borderId="34" xfId="0" applyFont="1" applyFill="1" applyBorder="1" applyAlignment="1">
      <alignment horizontal="left"/>
    </xf>
    <xf numFmtId="0" fontId="104" fillId="50" borderId="1" xfId="4" applyFont="1" applyFill="1" applyAlignment="1">
      <alignment horizontal="left"/>
    </xf>
    <xf numFmtId="0" fontId="104" fillId="35" borderId="1" xfId="4" applyFont="1" applyFill="1" applyAlignment="1">
      <alignment horizontal="left" vertical="center"/>
    </xf>
    <xf numFmtId="0" fontId="105" fillId="0" borderId="1" xfId="0" applyFont="1" applyBorder="1" applyAlignment="1">
      <alignment horizontal="left" vertical="center" wrapText="1"/>
    </xf>
    <xf numFmtId="0" fontId="121" fillId="22" borderId="1" xfId="4" applyFont="1" applyFill="1" applyAlignment="1">
      <alignment horizontal="left" vertical="center" wrapText="1"/>
    </xf>
    <xf numFmtId="0" fontId="97" fillId="70" borderId="1" xfId="4" applyFont="1" applyFill="1" applyAlignment="1">
      <alignment horizontal="left" vertical="center"/>
    </xf>
    <xf numFmtId="0" fontId="121" fillId="71" borderId="1" xfId="4" applyFont="1" applyFill="1" applyAlignment="1">
      <alignment horizontal="left" vertical="center" wrapText="1"/>
    </xf>
    <xf numFmtId="0" fontId="105" fillId="0" borderId="30" xfId="4" applyFont="1" applyBorder="1" applyAlignment="1">
      <alignment horizontal="left" vertical="center" wrapText="1"/>
    </xf>
    <xf numFmtId="0" fontId="121" fillId="0" borderId="1" xfId="4" applyFont="1" applyAlignment="1">
      <alignment horizontal="left" vertical="center"/>
    </xf>
    <xf numFmtId="0" fontId="109" fillId="70" borderId="1" xfId="4" applyFont="1" applyFill="1" applyAlignment="1">
      <alignment horizontal="left" vertical="center"/>
    </xf>
    <xf numFmtId="0" fontId="114" fillId="70" borderId="1" xfId="4" applyFont="1" applyFill="1" applyAlignment="1">
      <alignment horizontal="left" vertical="center"/>
    </xf>
    <xf numFmtId="0" fontId="109" fillId="70" borderId="1" xfId="4" applyFont="1" applyFill="1" applyAlignment="1">
      <alignment horizontal="left" vertical="center" wrapText="1"/>
    </xf>
    <xf numFmtId="0" fontId="109" fillId="70" borderId="1" xfId="4" applyFont="1" applyFill="1" applyAlignment="1">
      <alignment horizontal="left"/>
    </xf>
    <xf numFmtId="0" fontId="104" fillId="44" borderId="34" xfId="0" applyFont="1" applyFill="1" applyBorder="1" applyAlignment="1">
      <alignment horizontal="left" vertical="center"/>
    </xf>
    <xf numFmtId="0" fontId="105" fillId="0" borderId="1" xfId="4" applyFont="1" applyAlignment="1" applyProtection="1">
      <alignment horizontal="left" vertical="center"/>
      <protection locked="0"/>
    </xf>
    <xf numFmtId="0" fontId="121" fillId="0" borderId="1" xfId="4" applyFont="1" applyAlignment="1" applyProtection="1">
      <alignment vertical="center" wrapText="1"/>
      <protection locked="0"/>
    </xf>
    <xf numFmtId="0" fontId="88" fillId="55" borderId="1" xfId="4" applyFont="1" applyFill="1" applyAlignment="1">
      <alignment horizontal="left" vertical="center"/>
    </xf>
    <xf numFmtId="0" fontId="121" fillId="55" borderId="1" xfId="4" applyFont="1" applyFill="1" applyAlignment="1">
      <alignment vertical="top" wrapText="1"/>
    </xf>
    <xf numFmtId="0" fontId="0" fillId="0" borderId="1" xfId="4" applyFont="1" applyAlignment="1">
      <alignment horizontal="left" vertical="center" wrapText="1"/>
    </xf>
    <xf numFmtId="0" fontId="22" fillId="0" borderId="52" xfId="0" applyFont="1" applyBorder="1" applyAlignment="1">
      <alignment horizontal="left" vertical="top" wrapText="1"/>
    </xf>
    <xf numFmtId="1" fontId="21" fillId="6" borderId="53" xfId="0" applyNumberFormat="1" applyFont="1" applyFill="1" applyBorder="1" applyAlignment="1" applyProtection="1">
      <alignment horizontal="left" wrapText="1"/>
      <protection locked="0"/>
    </xf>
    <xf numFmtId="167" fontId="21" fillId="4" borderId="53" xfId="5" applyNumberFormat="1" applyFont="1" applyFill="1" applyBorder="1" applyAlignment="1" applyProtection="1">
      <alignment horizontal="right" wrapText="1"/>
      <protection locked="0"/>
    </xf>
    <xf numFmtId="0" fontId="21" fillId="0" borderId="53" xfId="0" applyFont="1" applyBorder="1" applyAlignment="1">
      <alignment horizontal="left" wrapText="1"/>
    </xf>
    <xf numFmtId="1" fontId="21" fillId="5" borderId="53" xfId="0" applyNumberFormat="1" applyFont="1" applyFill="1" applyBorder="1" applyAlignment="1" applyProtection="1">
      <alignment horizontal="left"/>
      <protection locked="0"/>
    </xf>
    <xf numFmtId="0" fontId="21" fillId="0" borderId="55" xfId="0" applyFont="1" applyBorder="1" applyAlignment="1">
      <alignment horizontal="left" wrapText="1"/>
    </xf>
    <xf numFmtId="167" fontId="21" fillId="4" borderId="56" xfId="5" applyNumberFormat="1" applyFont="1" applyFill="1" applyBorder="1" applyAlignment="1" applyProtection="1">
      <alignment horizontal="right" wrapText="1"/>
      <protection locked="0"/>
    </xf>
    <xf numFmtId="0" fontId="21" fillId="0" borderId="57" xfId="0" applyFont="1" applyBorder="1" applyAlignment="1">
      <alignment horizontal="left" wrapText="1"/>
    </xf>
    <xf numFmtId="1" fontId="21" fillId="6" borderId="58" xfId="0" applyNumberFormat="1" applyFont="1" applyFill="1" applyBorder="1" applyAlignment="1" applyProtection="1">
      <alignment horizontal="left" wrapText="1"/>
      <protection locked="0"/>
    </xf>
    <xf numFmtId="1" fontId="21" fillId="6" borderId="60" xfId="0" applyNumberFormat="1" applyFont="1" applyFill="1" applyBorder="1" applyAlignment="1" applyProtection="1">
      <alignment horizontal="left" wrapText="1"/>
      <protection locked="0"/>
    </xf>
    <xf numFmtId="1" fontId="21" fillId="6" borderId="61" xfId="0" applyNumberFormat="1" applyFont="1" applyFill="1" applyBorder="1" applyAlignment="1" applyProtection="1">
      <alignment horizontal="left" wrapText="1"/>
      <protection locked="0"/>
    </xf>
    <xf numFmtId="0" fontId="22" fillId="22" borderId="62" xfId="0" applyFont="1" applyFill="1" applyBorder="1" applyAlignment="1">
      <alignment horizontal="left" vertical="top" wrapText="1"/>
    </xf>
    <xf numFmtId="0" fontId="22" fillId="22" borderId="59" xfId="0" applyFont="1" applyFill="1" applyBorder="1" applyAlignment="1">
      <alignment horizontal="left" vertical="top" wrapText="1"/>
    </xf>
    <xf numFmtId="0" fontId="22" fillId="22" borderId="63" xfId="0" applyFont="1" applyFill="1" applyBorder="1" applyAlignment="1">
      <alignment horizontal="left" vertical="top" wrapText="1"/>
    </xf>
    <xf numFmtId="0" fontId="22" fillId="0" borderId="64" xfId="0" applyFont="1" applyBorder="1" applyAlignment="1">
      <alignment horizontal="left" vertical="top" wrapText="1"/>
    </xf>
    <xf numFmtId="0" fontId="22" fillId="0" borderId="65" xfId="0" applyFont="1" applyBorder="1" applyAlignment="1">
      <alignment horizontal="left" vertical="top" wrapText="1"/>
    </xf>
    <xf numFmtId="0" fontId="22" fillId="0" borderId="66" xfId="0" applyFont="1" applyBorder="1" applyAlignment="1">
      <alignment horizontal="left" vertical="top" wrapText="1"/>
    </xf>
    <xf numFmtId="0" fontId="21" fillId="0" borderId="54" xfId="0" applyFont="1" applyBorder="1" applyAlignment="1">
      <alignment horizontal="left"/>
    </xf>
    <xf numFmtId="0" fontId="21" fillId="0" borderId="53" xfId="0" applyFont="1" applyBorder="1" applyAlignment="1">
      <alignment horizontal="left"/>
    </xf>
    <xf numFmtId="1" fontId="21" fillId="6" borderId="53" xfId="0" applyNumberFormat="1" applyFont="1" applyFill="1" applyBorder="1" applyAlignment="1" applyProtection="1">
      <alignment horizontal="left"/>
      <protection locked="0"/>
    </xf>
    <xf numFmtId="0" fontId="21" fillId="0" borderId="58" xfId="0" applyFont="1" applyBorder="1" applyAlignment="1">
      <alignment horizontal="left" wrapText="1"/>
    </xf>
    <xf numFmtId="168" fontId="21" fillId="4" borderId="57" xfId="5" applyNumberFormat="1" applyFont="1" applyFill="1" applyBorder="1" applyAlignment="1" applyProtection="1">
      <alignment horizontal="right" wrapText="1"/>
      <protection locked="0"/>
    </xf>
    <xf numFmtId="1" fontId="21" fillId="5" borderId="57" xfId="0" applyNumberFormat="1" applyFont="1" applyFill="1" applyBorder="1" applyAlignment="1" applyProtection="1">
      <alignment horizontal="left"/>
      <protection locked="0"/>
    </xf>
    <xf numFmtId="1" fontId="21" fillId="6" borderId="57" xfId="0" applyNumberFormat="1" applyFont="1" applyFill="1" applyBorder="1" applyAlignment="1" applyProtection="1">
      <alignment horizontal="left" wrapText="1"/>
      <protection locked="0"/>
    </xf>
    <xf numFmtId="1" fontId="21" fillId="5" borderId="67" xfId="0" applyNumberFormat="1" applyFont="1" applyFill="1" applyBorder="1" applyAlignment="1" applyProtection="1">
      <alignment horizontal="left"/>
      <protection locked="0"/>
    </xf>
    <xf numFmtId="1" fontId="21" fillId="6" borderId="67" xfId="0" applyNumberFormat="1" applyFont="1" applyFill="1" applyBorder="1" applyAlignment="1" applyProtection="1">
      <alignment horizontal="left" wrapText="1"/>
      <protection locked="0"/>
    </xf>
    <xf numFmtId="0" fontId="109" fillId="53" borderId="1" xfId="4" applyFont="1" applyFill="1" applyAlignment="1">
      <alignment horizontal="left" vertical="center"/>
    </xf>
    <xf numFmtId="0" fontId="109" fillId="62" borderId="1" xfId="4" applyFont="1" applyFill="1" applyAlignment="1">
      <alignment horizontal="left" vertical="center" wrapText="1"/>
    </xf>
    <xf numFmtId="0" fontId="114" fillId="62" borderId="1" xfId="4" applyFont="1" applyFill="1" applyAlignment="1">
      <alignment horizontal="left" vertical="center"/>
    </xf>
    <xf numFmtId="0" fontId="63" fillId="62" borderId="1" xfId="4" applyFont="1" applyFill="1" applyAlignment="1">
      <alignment horizontal="left" vertical="center" wrapText="1"/>
    </xf>
    <xf numFmtId="0" fontId="109" fillId="62" borderId="1" xfId="4" applyFont="1" applyFill="1" applyAlignment="1">
      <alignment horizontal="left" vertical="center"/>
    </xf>
    <xf numFmtId="0" fontId="79" fillId="44" borderId="1" xfId="0" applyFont="1" applyFill="1" applyBorder="1" applyAlignment="1">
      <alignment vertical="center" wrapText="1"/>
    </xf>
    <xf numFmtId="0" fontId="79" fillId="24" borderId="1" xfId="0" applyFont="1" applyFill="1" applyBorder="1" applyAlignment="1">
      <alignment vertical="center" wrapText="1"/>
    </xf>
    <xf numFmtId="0" fontId="79" fillId="72" borderId="1" xfId="0" applyFont="1" applyFill="1" applyBorder="1" applyAlignment="1">
      <alignment vertical="top" wrapText="1"/>
    </xf>
    <xf numFmtId="165" fontId="21" fillId="4" borderId="21" xfId="0" applyNumberFormat="1" applyFont="1" applyFill="1" applyBorder="1" applyAlignment="1" applyProtection="1">
      <alignment horizontal="right" wrapText="1"/>
      <protection locked="0"/>
    </xf>
    <xf numFmtId="0" fontId="21" fillId="22" borderId="7" xfId="0" applyFont="1" applyFill="1" applyBorder="1" applyAlignment="1">
      <alignment horizontal="left" wrapText="1"/>
    </xf>
    <xf numFmtId="0" fontId="21" fillId="22" borderId="24" xfId="0" applyFont="1" applyFill="1" applyBorder="1" applyAlignment="1">
      <alignment horizontal="left"/>
    </xf>
    <xf numFmtId="0" fontId="21" fillId="22" borderId="45" xfId="0" applyFont="1" applyFill="1" applyBorder="1" applyAlignment="1">
      <alignment horizontal="left"/>
    </xf>
    <xf numFmtId="0" fontId="21" fillId="22" borderId="51" xfId="0" applyFont="1" applyFill="1" applyBorder="1" applyAlignment="1">
      <alignment horizontal="left"/>
    </xf>
    <xf numFmtId="0" fontId="21" fillId="22" borderId="48" xfId="0" applyFont="1" applyFill="1" applyBorder="1" applyAlignment="1">
      <alignment horizontal="left"/>
    </xf>
    <xf numFmtId="0" fontId="21" fillId="22" borderId="25" xfId="0" applyFont="1" applyFill="1" applyBorder="1" applyAlignment="1">
      <alignment horizontal="left"/>
    </xf>
    <xf numFmtId="0" fontId="21" fillId="22" borderId="46" xfId="0" applyFont="1" applyFill="1" applyBorder="1" applyAlignment="1">
      <alignment horizontal="left"/>
    </xf>
    <xf numFmtId="0" fontId="21" fillId="22" borderId="49" xfId="0" applyFont="1" applyFill="1" applyBorder="1" applyAlignment="1">
      <alignment horizontal="left"/>
    </xf>
    <xf numFmtId="0" fontId="22" fillId="22" borderId="39" xfId="0" applyFont="1" applyFill="1" applyBorder="1" applyAlignment="1">
      <alignment horizontal="left" vertical="top" wrapText="1"/>
    </xf>
    <xf numFmtId="0" fontId="22" fillId="22" borderId="47" xfId="0" applyFont="1" applyFill="1" applyBorder="1" applyAlignment="1">
      <alignment horizontal="left" vertical="top" wrapText="1"/>
    </xf>
    <xf numFmtId="0" fontId="22" fillId="22" borderId="50" xfId="0" applyFont="1" applyFill="1" applyBorder="1" applyAlignment="1">
      <alignment horizontal="left" vertical="top" wrapText="1"/>
    </xf>
    <xf numFmtId="168" fontId="19" fillId="16" borderId="21" xfId="5" applyNumberFormat="1" applyFont="1" applyFill="1" applyBorder="1" applyAlignment="1" applyProtection="1">
      <alignment horizontal="right" wrapText="1"/>
      <protection locked="0"/>
    </xf>
    <xf numFmtId="168" fontId="19" fillId="16" borderId="22" xfId="5" applyNumberFormat="1" applyFont="1" applyFill="1" applyBorder="1" applyAlignment="1" applyProtection="1">
      <alignment horizontal="right" wrapText="1"/>
      <protection locked="0"/>
    </xf>
    <xf numFmtId="43" fontId="21" fillId="73" borderId="20" xfId="5" applyFont="1" applyFill="1" applyBorder="1" applyAlignment="1" applyProtection="1">
      <alignment horizontal="right" wrapText="1"/>
      <protection locked="0"/>
    </xf>
    <xf numFmtId="0" fontId="33" fillId="0" borderId="1" xfId="0" applyFont="1" applyBorder="1" applyAlignment="1">
      <alignment horizontal="left" vertical="center"/>
    </xf>
    <xf numFmtId="0" fontId="0" fillId="0" borderId="1" xfId="0" applyBorder="1" applyAlignment="1">
      <alignment vertical="center"/>
    </xf>
    <xf numFmtId="0" fontId="46" fillId="0" borderId="1" xfId="0" applyFont="1" applyBorder="1"/>
    <xf numFmtId="0" fontId="56" fillId="0" borderId="1" xfId="0" applyFont="1" applyBorder="1"/>
    <xf numFmtId="0" fontId="41" fillId="0" borderId="1" xfId="0" applyFont="1" applyBorder="1"/>
    <xf numFmtId="0" fontId="59" fillId="0" borderId="1" xfId="0" applyFont="1" applyBorder="1"/>
    <xf numFmtId="0" fontId="102" fillId="0" borderId="1" xfId="0" applyFont="1" applyBorder="1"/>
    <xf numFmtId="0" fontId="51" fillId="0" borderId="1" xfId="0" applyFont="1" applyBorder="1"/>
    <xf numFmtId="0" fontId="81" fillId="0" borderId="1" xfId="0" applyFont="1" applyBorder="1"/>
    <xf numFmtId="9" fontId="22" fillId="0" borderId="38" xfId="0" applyNumberFormat="1" applyFont="1" applyBorder="1" applyAlignment="1">
      <alignment horizontal="left" vertical="top" wrapText="1"/>
    </xf>
    <xf numFmtId="0" fontId="100" fillId="0" borderId="44" xfId="0" applyFont="1" applyBorder="1" applyAlignment="1">
      <alignment horizontal="left" wrapText="1"/>
    </xf>
    <xf numFmtId="0" fontId="100" fillId="0" borderId="8" xfId="0" applyFont="1" applyBorder="1" applyAlignment="1">
      <alignment horizontal="left" wrapText="1"/>
    </xf>
    <xf numFmtId="0" fontId="100" fillId="0" borderId="9" xfId="0" applyFont="1" applyBorder="1" applyAlignment="1">
      <alignment horizontal="left" wrapText="1"/>
    </xf>
    <xf numFmtId="0" fontId="21" fillId="22" borderId="8" xfId="0" applyFont="1" applyFill="1" applyBorder="1" applyAlignment="1">
      <alignment horizontal="left" wrapText="1"/>
    </xf>
    <xf numFmtId="0" fontId="22" fillId="22" borderId="64" xfId="0" applyFont="1" applyFill="1" applyBorder="1" applyAlignment="1">
      <alignment horizontal="left" vertical="top" wrapText="1"/>
    </xf>
    <xf numFmtId="0" fontId="22" fillId="22" borderId="65" xfId="0" applyFont="1" applyFill="1" applyBorder="1" applyAlignment="1">
      <alignment horizontal="left" vertical="top" wrapText="1"/>
    </xf>
    <xf numFmtId="9" fontId="69" fillId="48" borderId="37" xfId="0" applyNumberFormat="1" applyFont="1" applyFill="1" applyBorder="1" applyAlignment="1">
      <alignment horizontal="left" vertical="top" wrapText="1"/>
    </xf>
    <xf numFmtId="0" fontId="79" fillId="31" borderId="1" xfId="0" applyFont="1" applyFill="1" applyBorder="1" applyAlignment="1">
      <alignment horizontal="left" vertical="center" wrapText="1"/>
    </xf>
    <xf numFmtId="0" fontId="79" fillId="42" borderId="1" xfId="0" applyFont="1" applyFill="1" applyBorder="1" applyAlignment="1">
      <alignment horizontal="left" vertical="top" wrapText="1"/>
    </xf>
    <xf numFmtId="0" fontId="79" fillId="72" borderId="37" xfId="0" applyFont="1" applyFill="1" applyBorder="1" applyAlignment="1">
      <alignment vertical="top" wrapText="1"/>
    </xf>
    <xf numFmtId="0" fontId="19" fillId="45" borderId="37" xfId="0" applyFont="1" applyFill="1" applyBorder="1" applyProtection="1">
      <protection locked="0"/>
    </xf>
    <xf numFmtId="0" fontId="137" fillId="48" borderId="34" xfId="0" applyFont="1" applyFill="1" applyBorder="1"/>
    <xf numFmtId="0" fontId="40" fillId="0" borderId="39" xfId="0" applyFont="1" applyBorder="1" applyAlignment="1">
      <alignment horizontal="left" vertical="top" wrapText="1"/>
    </xf>
    <xf numFmtId="0" fontId="19" fillId="0" borderId="36" xfId="0" applyFont="1" applyBorder="1"/>
    <xf numFmtId="0" fontId="21" fillId="27" borderId="37" xfId="0" applyFont="1" applyFill="1" applyBorder="1" applyAlignment="1">
      <alignment horizontal="left" wrapText="1"/>
    </xf>
    <xf numFmtId="0" fontId="138" fillId="27" borderId="37" xfId="0" applyFont="1" applyFill="1" applyBorder="1" applyAlignment="1">
      <alignment horizontal="left" wrapText="1"/>
    </xf>
    <xf numFmtId="0" fontId="22" fillId="0" borderId="68" xfId="0" applyFont="1" applyBorder="1" applyAlignment="1">
      <alignment horizontal="left" vertical="top" wrapText="1"/>
    </xf>
    <xf numFmtId="0" fontId="21" fillId="0" borderId="37" xfId="0" applyFont="1" applyBorder="1" applyAlignment="1">
      <alignment horizontal="left" wrapText="1"/>
    </xf>
    <xf numFmtId="0" fontId="22" fillId="0" borderId="39" xfId="0" applyFont="1" applyBorder="1" applyAlignment="1">
      <alignment horizontal="left" vertical="top" wrapText="1"/>
    </xf>
    <xf numFmtId="0" fontId="96" fillId="31" borderId="37" xfId="0" applyFont="1" applyFill="1" applyBorder="1" applyAlignment="1">
      <alignment horizontal="left" vertical="center" wrapText="1"/>
    </xf>
    <xf numFmtId="0" fontId="15" fillId="0" borderId="1" xfId="14"/>
    <xf numFmtId="0" fontId="15" fillId="22" borderId="1" xfId="6" applyFont="1" applyFill="1"/>
    <xf numFmtId="0" fontId="142" fillId="22" borderId="1" xfId="8" applyFill="1" applyBorder="1" applyAlignment="1">
      <alignment horizontal="left" vertical="top"/>
    </xf>
    <xf numFmtId="0" fontId="145" fillId="22" borderId="1" xfId="6" applyFont="1" applyFill="1"/>
    <xf numFmtId="0" fontId="145" fillId="22" borderId="1" xfId="6" applyFont="1" applyFill="1" applyAlignment="1">
      <alignment horizontal="left"/>
    </xf>
    <xf numFmtId="0" fontId="104" fillId="75" borderId="1" xfId="6" applyFont="1" applyFill="1"/>
    <xf numFmtId="0" fontId="81" fillId="75" borderId="1" xfId="6" applyFont="1" applyFill="1"/>
    <xf numFmtId="0" fontId="81" fillId="75" borderId="1" xfId="6" applyFont="1" applyFill="1" applyAlignment="1">
      <alignment horizontal="right"/>
    </xf>
    <xf numFmtId="0" fontId="16" fillId="76" borderId="1" xfId="6" applyFill="1"/>
    <xf numFmtId="0" fontId="140" fillId="76" borderId="1" xfId="6" applyFont="1" applyFill="1" applyAlignment="1">
      <alignment horizontal="left" vertical="center"/>
    </xf>
    <xf numFmtId="0" fontId="140" fillId="76" borderId="1" xfId="6" applyFont="1" applyFill="1" applyAlignment="1">
      <alignment horizontal="right" vertical="center"/>
    </xf>
    <xf numFmtId="0" fontId="16" fillId="22" borderId="1" xfId="6" applyFill="1"/>
    <xf numFmtId="0" fontId="16" fillId="22" borderId="71" xfId="6" applyFill="1" applyBorder="1"/>
    <xf numFmtId="0" fontId="130" fillId="22" borderId="1" xfId="6" applyFont="1" applyFill="1" applyAlignment="1">
      <alignment wrapText="1"/>
    </xf>
    <xf numFmtId="2" fontId="130" fillId="22" borderId="1" xfId="6" applyNumberFormat="1" applyFont="1" applyFill="1" applyAlignment="1">
      <alignment horizontal="right"/>
    </xf>
    <xf numFmtId="2" fontId="130" fillId="22" borderId="1" xfId="6" applyNumberFormat="1" applyFont="1" applyFill="1"/>
    <xf numFmtId="0" fontId="16" fillId="22" borderId="1" xfId="6" applyFill="1" applyAlignment="1">
      <alignment horizontal="right"/>
    </xf>
    <xf numFmtId="9" fontId="0" fillId="22" borderId="71" xfId="13" applyFont="1" applyFill="1" applyBorder="1"/>
    <xf numFmtId="0" fontId="32" fillId="22" borderId="1" xfId="6" applyFont="1" applyFill="1"/>
    <xf numFmtId="0" fontId="130" fillId="22" borderId="1" xfId="6" applyFont="1" applyFill="1" applyAlignment="1">
      <alignment horizontal="left" vertical="center"/>
    </xf>
    <xf numFmtId="43" fontId="130" fillId="22" borderId="1" xfId="10" applyFont="1" applyFill="1" applyAlignment="1">
      <alignment horizontal="right" vertical="center"/>
    </xf>
    <xf numFmtId="43" fontId="130" fillId="22" borderId="1" xfId="10" applyFont="1" applyFill="1" applyAlignment="1">
      <alignment horizontal="left" vertical="center"/>
    </xf>
    <xf numFmtId="0" fontId="147" fillId="22" borderId="1" xfId="6" applyFont="1" applyFill="1" applyAlignment="1">
      <alignment horizontal="left" vertical="center" wrapText="1"/>
    </xf>
    <xf numFmtId="9" fontId="16" fillId="22" borderId="1" xfId="6" applyNumberFormat="1" applyFill="1"/>
    <xf numFmtId="0" fontId="147" fillId="22" borderId="71" xfId="6" applyFont="1" applyFill="1" applyBorder="1" applyAlignment="1">
      <alignment horizontal="left" vertical="center" wrapText="1"/>
    </xf>
    <xf numFmtId="0" fontId="148" fillId="22" borderId="1" xfId="6" applyFont="1" applyFill="1" applyAlignment="1">
      <alignment vertical="center" wrapText="1"/>
    </xf>
    <xf numFmtId="168" fontId="32" fillId="22" borderId="1" xfId="10" applyNumberFormat="1" applyFont="1" applyFill="1" applyAlignment="1">
      <alignment horizontal="right"/>
    </xf>
    <xf numFmtId="168" fontId="32" fillId="22" borderId="1" xfId="10" applyNumberFormat="1" applyFont="1" applyFill="1"/>
    <xf numFmtId="0" fontId="32" fillId="22" borderId="1" xfId="6" applyFont="1" applyFill="1" applyAlignment="1">
      <alignment vertical="center" wrapText="1"/>
    </xf>
    <xf numFmtId="43" fontId="32" fillId="22" borderId="1" xfId="10" applyFont="1" applyFill="1" applyAlignment="1">
      <alignment horizontal="right"/>
    </xf>
    <xf numFmtId="43" fontId="32" fillId="22" borderId="1" xfId="10" applyFont="1" applyFill="1"/>
    <xf numFmtId="43" fontId="0" fillId="22" borderId="1" xfId="10" applyFont="1" applyFill="1" applyAlignment="1">
      <alignment horizontal="right"/>
    </xf>
    <xf numFmtId="43" fontId="0" fillId="22" borderId="1" xfId="10" applyFont="1" applyFill="1"/>
    <xf numFmtId="9" fontId="0" fillId="22" borderId="1" xfId="13" applyFont="1" applyFill="1"/>
    <xf numFmtId="43" fontId="0" fillId="22" borderId="71" xfId="10" applyFont="1" applyFill="1" applyBorder="1" applyAlignment="1">
      <alignment horizontal="right"/>
    </xf>
    <xf numFmtId="43" fontId="0" fillId="22" borderId="71" xfId="10" applyFont="1" applyFill="1" applyBorder="1"/>
    <xf numFmtId="0" fontId="32" fillId="22" borderId="1" xfId="6" applyFont="1" applyFill="1" applyAlignment="1">
      <alignment horizontal="right"/>
    </xf>
    <xf numFmtId="9" fontId="16" fillId="22" borderId="71" xfId="6" applyNumberFormat="1" applyFill="1" applyBorder="1"/>
    <xf numFmtId="0" fontId="81" fillId="76" borderId="1" xfId="6" applyFont="1" applyFill="1" applyAlignment="1">
      <alignment horizontal="center" vertical="center"/>
    </xf>
    <xf numFmtId="0" fontId="81" fillId="76" borderId="1" xfId="6" applyFont="1" applyFill="1"/>
    <xf numFmtId="0" fontId="16" fillId="22" borderId="71" xfId="6" applyFill="1" applyBorder="1" applyAlignment="1">
      <alignment horizontal="right"/>
    </xf>
    <xf numFmtId="43" fontId="32" fillId="22" borderId="1" xfId="10" applyFont="1" applyFill="1" applyAlignment="1">
      <alignment horizontal="center"/>
    </xf>
    <xf numFmtId="43" fontId="0" fillId="22" borderId="1" xfId="10" applyFont="1" applyFill="1" applyAlignment="1">
      <alignment horizontal="left"/>
    </xf>
    <xf numFmtId="43" fontId="0" fillId="22" borderId="1" xfId="10" applyFont="1" applyFill="1" applyAlignment="1">
      <alignment horizontal="center" vertical="center"/>
    </xf>
    <xf numFmtId="9" fontId="0" fillId="22" borderId="1" xfId="13" applyFont="1" applyFill="1" applyAlignment="1">
      <alignment horizontal="center"/>
    </xf>
    <xf numFmtId="43" fontId="16" fillId="22" borderId="1" xfId="6" applyNumberFormat="1" applyFill="1"/>
    <xf numFmtId="0" fontId="16" fillId="22" borderId="1" xfId="6" applyFill="1" applyAlignment="1">
      <alignment wrapText="1"/>
    </xf>
    <xf numFmtId="173" fontId="16" fillId="22" borderId="1" xfId="12" applyNumberFormat="1" applyFont="1" applyFill="1"/>
    <xf numFmtId="172" fontId="16" fillId="22" borderId="1" xfId="12" applyNumberFormat="1" applyFont="1" applyFill="1"/>
    <xf numFmtId="9" fontId="16" fillId="22" borderId="1" xfId="6" applyNumberFormat="1" applyFill="1" applyAlignment="1">
      <alignment horizontal="right"/>
    </xf>
    <xf numFmtId="2" fontId="15" fillId="0" borderId="1" xfId="14" applyNumberFormat="1"/>
    <xf numFmtId="0" fontId="16" fillId="0" borderId="0" xfId="0" applyFont="1"/>
    <xf numFmtId="0" fontId="149" fillId="0" borderId="72" xfId="0" applyFont="1" applyBorder="1" applyAlignment="1">
      <alignment horizontal="center" vertical="top"/>
    </xf>
    <xf numFmtId="0" fontId="19" fillId="2" borderId="1" xfId="16" applyFont="1" applyFill="1"/>
    <xf numFmtId="0" fontId="14" fillId="0" borderId="1" xfId="16"/>
    <xf numFmtId="0" fontId="34" fillId="17" borderId="3" xfId="16" applyFont="1" applyFill="1" applyBorder="1" applyAlignment="1">
      <alignment horizontal="left" vertical="center"/>
    </xf>
    <xf numFmtId="0" fontId="21" fillId="0" borderId="1" xfId="16" applyFont="1" applyAlignment="1">
      <alignment horizontal="left" wrapText="1"/>
    </xf>
    <xf numFmtId="0" fontId="21" fillId="0" borderId="1" xfId="16" applyFont="1" applyAlignment="1">
      <alignment vertical="top" wrapText="1"/>
    </xf>
    <xf numFmtId="0" fontId="14" fillId="25" borderId="13" xfId="16" applyFill="1" applyBorder="1"/>
    <xf numFmtId="0" fontId="19" fillId="28" borderId="15" xfId="16" applyFont="1" applyFill="1" applyBorder="1"/>
    <xf numFmtId="0" fontId="24" fillId="28" borderId="15" xfId="16" applyFont="1" applyFill="1" applyBorder="1" applyAlignment="1">
      <alignment horizontal="left" wrapText="1"/>
    </xf>
    <xf numFmtId="0" fontId="19" fillId="25" borderId="15" xfId="16" applyFont="1" applyFill="1" applyBorder="1" applyAlignment="1">
      <alignment wrapText="1"/>
    </xf>
    <xf numFmtId="0" fontId="23" fillId="0" borderId="1" xfId="16" applyFont="1" applyAlignment="1">
      <alignment horizontal="left"/>
    </xf>
    <xf numFmtId="0" fontId="19" fillId="28" borderId="15" xfId="16" applyFont="1" applyFill="1" applyBorder="1" applyAlignment="1">
      <alignment horizontal="left" wrapText="1"/>
    </xf>
    <xf numFmtId="0" fontId="23" fillId="3" borderId="10" xfId="16" applyFont="1" applyFill="1" applyBorder="1" applyAlignment="1">
      <alignment horizontal="left"/>
    </xf>
    <xf numFmtId="0" fontId="19" fillId="3" borderId="14" xfId="16" applyFont="1" applyFill="1" applyBorder="1"/>
    <xf numFmtId="0" fontId="19" fillId="3" borderId="16" xfId="16" applyFont="1" applyFill="1" applyBorder="1" applyAlignment="1">
      <alignment vertical="center"/>
    </xf>
    <xf numFmtId="0" fontId="19" fillId="0" borderId="1" xfId="16" applyFont="1"/>
    <xf numFmtId="0" fontId="29" fillId="28" borderId="18" xfId="16" applyFont="1" applyFill="1" applyBorder="1" applyAlignment="1">
      <alignment horizontal="left"/>
    </xf>
    <xf numFmtId="0" fontId="72" fillId="7" borderId="32" xfId="16" applyFont="1" applyFill="1" applyBorder="1" applyAlignment="1">
      <alignment horizontal="left"/>
    </xf>
    <xf numFmtId="0" fontId="75" fillId="7" borderId="32" xfId="16" applyFont="1" applyFill="1" applyBorder="1" applyAlignment="1">
      <alignment horizontal="left"/>
    </xf>
    <xf numFmtId="0" fontId="19" fillId="0" borderId="74" xfId="16" applyFont="1" applyBorder="1"/>
    <xf numFmtId="0" fontId="19" fillId="0" borderId="75" xfId="16" applyFont="1" applyBorder="1"/>
    <xf numFmtId="0" fontId="21" fillId="0" borderId="76" xfId="16" applyFont="1" applyBorder="1" applyAlignment="1">
      <alignment horizontal="left" wrapText="1"/>
    </xf>
    <xf numFmtId="0" fontId="21" fillId="0" borderId="77" xfId="16" applyFont="1" applyBorder="1" applyAlignment="1">
      <alignment horizontal="left" wrapText="1"/>
    </xf>
    <xf numFmtId="0" fontId="21" fillId="0" borderId="78" xfId="16" applyFont="1" applyBorder="1" applyAlignment="1">
      <alignment horizontal="left" wrapText="1"/>
    </xf>
    <xf numFmtId="0" fontId="21" fillId="0" borderId="79" xfId="16" applyFont="1" applyBorder="1" applyAlignment="1">
      <alignment horizontal="left"/>
    </xf>
    <xf numFmtId="0" fontId="65" fillId="19" borderId="1" xfId="16" applyFont="1" applyFill="1" applyAlignment="1">
      <alignment horizontal="left" wrapText="1"/>
    </xf>
    <xf numFmtId="0" fontId="65" fillId="19" borderId="1" xfId="16" applyFont="1" applyFill="1" applyAlignment="1">
      <alignment horizontal="left"/>
    </xf>
    <xf numFmtId="0" fontId="21" fillId="0" borderId="74" xfId="16" applyFont="1" applyBorder="1" applyAlignment="1">
      <alignment horizontal="left" wrapText="1"/>
    </xf>
    <xf numFmtId="0" fontId="21" fillId="0" borderId="75" xfId="16" applyFont="1" applyBorder="1" applyAlignment="1">
      <alignment horizontal="left" wrapText="1"/>
    </xf>
    <xf numFmtId="0" fontId="21" fillId="0" borderId="79" xfId="16" applyFont="1" applyBorder="1" applyAlignment="1">
      <alignment horizontal="left" wrapText="1"/>
    </xf>
    <xf numFmtId="0" fontId="48" fillId="35" borderId="1" xfId="16" applyFont="1" applyFill="1" applyAlignment="1">
      <alignment horizontal="left" wrapText="1"/>
    </xf>
    <xf numFmtId="0" fontId="68" fillId="36" borderId="1" xfId="16" applyFont="1" applyFill="1" applyAlignment="1">
      <alignment horizontal="left" wrapText="1"/>
    </xf>
    <xf numFmtId="0" fontId="55" fillId="37" borderId="1" xfId="16" applyFont="1" applyFill="1" applyAlignment="1">
      <alignment horizontal="left" wrapText="1"/>
    </xf>
    <xf numFmtId="0" fontId="49" fillId="37" borderId="1" xfId="16" applyFont="1" applyFill="1" applyAlignment="1">
      <alignment horizontal="left" wrapText="1"/>
    </xf>
    <xf numFmtId="0" fontId="79" fillId="42" borderId="1" xfId="16" applyFont="1" applyFill="1" applyAlignment="1">
      <alignment vertical="top" wrapText="1"/>
    </xf>
    <xf numFmtId="0" fontId="66" fillId="37" borderId="1" xfId="16" applyFont="1" applyFill="1" applyAlignment="1">
      <alignment horizontal="left" wrapText="1"/>
    </xf>
    <xf numFmtId="0" fontId="65" fillId="37" borderId="1" xfId="16" applyFont="1" applyFill="1" applyAlignment="1">
      <alignment horizontal="left" wrapText="1"/>
    </xf>
    <xf numFmtId="0" fontId="42" fillId="43" borderId="1" xfId="16" applyFont="1" applyFill="1" applyAlignment="1">
      <alignment horizontal="left" wrapText="1"/>
    </xf>
    <xf numFmtId="0" fontId="43" fillId="43" borderId="1" xfId="16" applyFont="1" applyFill="1" applyAlignment="1">
      <alignment horizontal="left" wrapText="1"/>
    </xf>
    <xf numFmtId="0" fontId="21" fillId="0" borderId="24" xfId="16" applyFont="1" applyBorder="1" applyAlignment="1">
      <alignment horizontal="left"/>
    </xf>
    <xf numFmtId="0" fontId="21" fillId="0" borderId="25" xfId="16" applyFont="1" applyBorder="1" applyAlignment="1">
      <alignment horizontal="left"/>
    </xf>
    <xf numFmtId="0" fontId="65" fillId="38" borderId="1" xfId="16" applyFont="1" applyFill="1" applyAlignment="1">
      <alignment horizontal="left"/>
    </xf>
    <xf numFmtId="0" fontId="21" fillId="0" borderId="74" xfId="16" applyFont="1" applyBorder="1" applyAlignment="1">
      <alignment horizontal="left"/>
    </xf>
    <xf numFmtId="0" fontId="21" fillId="0" borderId="75" xfId="16" applyFont="1" applyBorder="1" applyAlignment="1">
      <alignment horizontal="left"/>
    </xf>
    <xf numFmtId="0" fontId="21" fillId="0" borderId="76" xfId="16" applyFont="1" applyBorder="1" applyAlignment="1">
      <alignment horizontal="left"/>
    </xf>
    <xf numFmtId="0" fontId="21" fillId="0" borderId="77" xfId="16" applyFont="1" applyBorder="1" applyAlignment="1">
      <alignment horizontal="left"/>
    </xf>
    <xf numFmtId="0" fontId="21" fillId="0" borderId="78" xfId="16" applyFont="1" applyBorder="1" applyAlignment="1">
      <alignment horizontal="left"/>
    </xf>
    <xf numFmtId="0" fontId="16" fillId="0" borderId="76" xfId="16" applyFont="1" applyBorder="1"/>
    <xf numFmtId="0" fontId="16" fillId="0" borderId="78" xfId="16" applyFont="1" applyBorder="1"/>
    <xf numFmtId="0" fontId="19" fillId="0" borderId="74" xfId="16" applyFont="1" applyBorder="1" applyAlignment="1">
      <alignment horizontal="left" wrapText="1"/>
    </xf>
    <xf numFmtId="0" fontId="19" fillId="0" borderId="75" xfId="16" applyFont="1" applyBorder="1" applyAlignment="1">
      <alignment horizontal="left" wrapText="1"/>
    </xf>
    <xf numFmtId="0" fontId="19" fillId="0" borderId="76" xfId="16" applyFont="1" applyBorder="1" applyAlignment="1">
      <alignment horizontal="left" wrapText="1"/>
    </xf>
    <xf numFmtId="0" fontId="19" fillId="0" borderId="78" xfId="16" applyFont="1" applyBorder="1" applyAlignment="1">
      <alignment horizontal="left" vertical="center" wrapText="1"/>
    </xf>
    <xf numFmtId="0" fontId="41" fillId="43" borderId="1" xfId="16" applyFont="1" applyFill="1" applyAlignment="1">
      <alignment horizontal="left" vertical="center" wrapText="1"/>
    </xf>
    <xf numFmtId="0" fontId="41" fillId="43" borderId="1" xfId="16" applyFont="1" applyFill="1" applyAlignment="1">
      <alignment horizontal="left" wrapText="1"/>
    </xf>
    <xf numFmtId="0" fontId="19" fillId="0" borderId="76" xfId="16" applyFont="1" applyBorder="1"/>
    <xf numFmtId="0" fontId="19" fillId="0" borderId="78" xfId="16" applyFont="1" applyBorder="1"/>
    <xf numFmtId="0" fontId="19" fillId="0" borderId="19" xfId="16" applyFont="1" applyBorder="1" applyAlignment="1">
      <alignment horizontal="left" wrapText="1"/>
    </xf>
    <xf numFmtId="0" fontId="19" fillId="0" borderId="1" xfId="16" applyFont="1" applyAlignment="1">
      <alignment horizontal="left" wrapText="1"/>
    </xf>
    <xf numFmtId="0" fontId="61" fillId="44" borderId="1" xfId="16" applyFont="1" applyFill="1"/>
    <xf numFmtId="0" fontId="79" fillId="44" borderId="1" xfId="16" applyFont="1" applyFill="1" applyAlignment="1">
      <alignment vertical="top" wrapText="1"/>
    </xf>
    <xf numFmtId="0" fontId="28" fillId="44" borderId="1" xfId="16" applyFont="1" applyFill="1" applyAlignment="1">
      <alignment vertical="top" wrapText="1"/>
    </xf>
    <xf numFmtId="0" fontId="56" fillId="47" borderId="1" xfId="16" applyFont="1" applyFill="1" applyAlignment="1">
      <alignment wrapText="1"/>
    </xf>
    <xf numFmtId="0" fontId="56" fillId="47" borderId="1" xfId="16" applyFont="1" applyFill="1" applyAlignment="1">
      <alignment horizontal="left" wrapText="1"/>
    </xf>
    <xf numFmtId="0" fontId="41" fillId="48" borderId="1" xfId="16" applyFont="1" applyFill="1" applyAlignment="1">
      <alignment wrapText="1"/>
    </xf>
    <xf numFmtId="0" fontId="41" fillId="48" borderId="1" xfId="16" applyFont="1" applyFill="1" applyAlignment="1">
      <alignment horizontal="left" wrapText="1"/>
    </xf>
    <xf numFmtId="0" fontId="19" fillId="0" borderId="80" xfId="16" applyFont="1" applyBorder="1"/>
    <xf numFmtId="0" fontId="19" fillId="0" borderId="77" xfId="16" applyFont="1" applyBorder="1"/>
    <xf numFmtId="0" fontId="19" fillId="22" borderId="23" xfId="16" applyFont="1" applyFill="1" applyBorder="1"/>
    <xf numFmtId="0" fontId="76" fillId="48" borderId="1" xfId="16" applyFont="1" applyFill="1" applyAlignment="1">
      <alignment wrapText="1"/>
    </xf>
    <xf numFmtId="0" fontId="76" fillId="48" borderId="1" xfId="16" applyFont="1" applyFill="1" applyAlignment="1">
      <alignment horizontal="left" wrapText="1"/>
    </xf>
    <xf numFmtId="0" fontId="19" fillId="0" borderId="23" xfId="16" applyFont="1" applyBorder="1"/>
    <xf numFmtId="0" fontId="19" fillId="0" borderId="79" xfId="16" applyFont="1" applyBorder="1"/>
    <xf numFmtId="0" fontId="19" fillId="22" borderId="74" xfId="16" applyFont="1" applyFill="1" applyBorder="1"/>
    <xf numFmtId="0" fontId="19" fillId="22" borderId="76" xfId="16" applyFont="1" applyFill="1" applyBorder="1"/>
    <xf numFmtId="0" fontId="19" fillId="22" borderId="1" xfId="16" applyFont="1" applyFill="1"/>
    <xf numFmtId="0" fontId="19" fillId="22" borderId="78" xfId="16" applyFont="1" applyFill="1" applyBorder="1"/>
    <xf numFmtId="0" fontId="76" fillId="48" borderId="74" xfId="16" applyFont="1" applyFill="1" applyBorder="1" applyAlignment="1">
      <alignment horizontal="left" wrapText="1"/>
    </xf>
    <xf numFmtId="0" fontId="19" fillId="0" borderId="77" xfId="16" applyFont="1" applyBorder="1" applyAlignment="1">
      <alignment horizontal="left" wrapText="1"/>
    </xf>
    <xf numFmtId="0" fontId="19" fillId="0" borderId="79" xfId="16" applyFont="1" applyBorder="1" applyAlignment="1">
      <alignment horizontal="left" wrapText="1"/>
    </xf>
    <xf numFmtId="0" fontId="55" fillId="10" borderId="1" xfId="16" applyFont="1" applyFill="1" applyAlignment="1">
      <alignment wrapText="1"/>
    </xf>
    <xf numFmtId="0" fontId="46" fillId="10" borderId="1" xfId="16" applyFont="1" applyFill="1" applyAlignment="1">
      <alignment horizontal="left" wrapText="1"/>
    </xf>
    <xf numFmtId="0" fontId="21" fillId="0" borderId="29" xfId="16" applyFont="1" applyBorder="1" applyAlignment="1">
      <alignment horizontal="left" wrapText="1"/>
    </xf>
    <xf numFmtId="0" fontId="48" fillId="12" borderId="1" xfId="16" applyFont="1" applyFill="1" applyAlignment="1">
      <alignment horizontal="left" wrapText="1"/>
    </xf>
    <xf numFmtId="0" fontId="49" fillId="12" borderId="1" xfId="16" applyFont="1" applyFill="1" applyAlignment="1">
      <alignment horizontal="left" wrapText="1"/>
    </xf>
    <xf numFmtId="0" fontId="79" fillId="24" borderId="1" xfId="16" applyFont="1" applyFill="1" applyAlignment="1">
      <alignment vertical="top" wrapText="1"/>
    </xf>
    <xf numFmtId="0" fontId="52" fillId="2" borderId="1" xfId="16" applyFont="1" applyFill="1" applyAlignment="1">
      <alignment horizontal="left" wrapText="1"/>
    </xf>
    <xf numFmtId="0" fontId="53" fillId="2" borderId="1" xfId="16" applyFont="1" applyFill="1" applyAlignment="1">
      <alignment horizontal="left" wrapText="1"/>
    </xf>
    <xf numFmtId="0" fontId="42" fillId="13" borderId="1" xfId="16" applyFont="1" applyFill="1" applyAlignment="1">
      <alignment horizontal="left" wrapText="1"/>
    </xf>
    <xf numFmtId="0" fontId="43" fillId="13" borderId="1" xfId="16" applyFont="1" applyFill="1" applyAlignment="1">
      <alignment horizontal="left" wrapText="1"/>
    </xf>
    <xf numFmtId="0" fontId="19" fillId="0" borderId="78" xfId="16" applyFont="1" applyBorder="1" applyAlignment="1">
      <alignment horizontal="left" wrapText="1"/>
    </xf>
    <xf numFmtId="0" fontId="26" fillId="0" borderId="1" xfId="16" applyFont="1" applyAlignment="1">
      <alignment horizontal="left" wrapText="1"/>
    </xf>
    <xf numFmtId="0" fontId="49" fillId="9" borderId="1" xfId="16" applyFont="1" applyFill="1" applyAlignment="1">
      <alignment horizontal="left" wrapText="1"/>
    </xf>
    <xf numFmtId="0" fontId="65" fillId="26" borderId="1" xfId="16" applyFont="1" applyFill="1" applyAlignment="1">
      <alignment horizontal="left" wrapText="1"/>
    </xf>
    <xf numFmtId="0" fontId="21" fillId="0" borderId="19" xfId="16" applyFont="1" applyBorder="1" applyAlignment="1">
      <alignment horizontal="left" wrapText="1"/>
    </xf>
    <xf numFmtId="0" fontId="55" fillId="32" borderId="1" xfId="16" applyFont="1" applyFill="1" applyAlignment="1">
      <alignment wrapText="1"/>
    </xf>
    <xf numFmtId="0" fontId="46" fillId="32" borderId="1" xfId="16" applyFont="1" applyFill="1" applyAlignment="1">
      <alignment horizontal="left" wrapText="1"/>
    </xf>
    <xf numFmtId="0" fontId="79" fillId="31" borderId="1" xfId="16" applyFont="1" applyFill="1" applyAlignment="1">
      <alignment horizontal="left" vertical="center" wrapText="1"/>
    </xf>
    <xf numFmtId="0" fontId="96" fillId="31" borderId="1" xfId="16" applyFont="1" applyFill="1" applyAlignment="1">
      <alignment horizontal="left" vertical="center" wrapText="1"/>
    </xf>
    <xf numFmtId="0" fontId="27" fillId="22" borderId="1" xfId="16" applyFont="1" applyFill="1" applyAlignment="1">
      <alignment horizontal="left" wrapText="1"/>
    </xf>
    <xf numFmtId="0" fontId="54" fillId="14" borderId="1" xfId="16" applyFont="1" applyFill="1" applyAlignment="1">
      <alignment horizontal="left"/>
    </xf>
    <xf numFmtId="0" fontId="49" fillId="14" borderId="1" xfId="16" applyFont="1" applyFill="1" applyAlignment="1">
      <alignment horizontal="left" wrapText="1"/>
    </xf>
    <xf numFmtId="0" fontId="21" fillId="0" borderId="6" xfId="16" applyFont="1" applyBorder="1" applyAlignment="1">
      <alignment horizontal="left" wrapText="1"/>
    </xf>
    <xf numFmtId="0" fontId="21" fillId="0" borderId="42" xfId="16" applyFont="1" applyBorder="1" applyAlignment="1">
      <alignment horizontal="left" wrapText="1"/>
    </xf>
    <xf numFmtId="0" fontId="21" fillId="0" borderId="1" xfId="16" applyFont="1" applyAlignment="1">
      <alignment horizontal="left"/>
    </xf>
    <xf numFmtId="167" fontId="14" fillId="0" borderId="1" xfId="5" applyNumberFormat="1" applyFont="1" applyFill="1" applyBorder="1"/>
    <xf numFmtId="167" fontId="14" fillId="0" borderId="1" xfId="5" applyNumberFormat="1" applyFont="1" applyBorder="1"/>
    <xf numFmtId="164" fontId="16" fillId="22" borderId="1" xfId="6" applyNumberFormat="1" applyFill="1"/>
    <xf numFmtId="0" fontId="0" fillId="16" borderId="0" xfId="0" applyFill="1"/>
    <xf numFmtId="1" fontId="15" fillId="0" borderId="1" xfId="14" applyNumberFormat="1"/>
    <xf numFmtId="169" fontId="15" fillId="0" borderId="1" xfId="5" applyNumberFormat="1" applyFont="1" applyBorder="1"/>
    <xf numFmtId="175" fontId="15" fillId="0" borderId="1" xfId="14" applyNumberFormat="1"/>
    <xf numFmtId="175" fontId="130" fillId="0" borderId="1" xfId="14" applyNumberFormat="1" applyFont="1" applyAlignment="1">
      <alignment wrapText="1"/>
    </xf>
    <xf numFmtId="0" fontId="147" fillId="35" borderId="1" xfId="0" applyFont="1" applyFill="1" applyBorder="1" applyAlignment="1">
      <alignment horizontal="left" wrapText="1"/>
    </xf>
    <xf numFmtId="0" fontId="15" fillId="0" borderId="81" xfId="14" applyBorder="1"/>
    <xf numFmtId="0" fontId="15" fillId="0" borderId="82" xfId="14" applyBorder="1"/>
    <xf numFmtId="0" fontId="16" fillId="0" borderId="1" xfId="0" applyFont="1" applyBorder="1"/>
    <xf numFmtId="0" fontId="16" fillId="0" borderId="7" xfId="0" applyFont="1" applyBorder="1"/>
    <xf numFmtId="0" fontId="16" fillId="0" borderId="9" xfId="0" applyFont="1" applyBorder="1"/>
    <xf numFmtId="0" fontId="16" fillId="0" borderId="1" xfId="4" applyFont="1" applyAlignment="1">
      <alignment horizontal="left" vertical="top" wrapText="1"/>
    </xf>
    <xf numFmtId="0" fontId="14" fillId="0" borderId="1" xfId="4" applyFont="1" applyAlignment="1">
      <alignment horizontal="left" vertical="top" wrapText="1"/>
    </xf>
    <xf numFmtId="0" fontId="14" fillId="0" borderId="1" xfId="4" applyFont="1" applyAlignment="1">
      <alignment horizontal="left" vertical="center" wrapText="1"/>
    </xf>
    <xf numFmtId="0" fontId="16" fillId="0" borderId="1" xfId="4" applyFont="1" applyAlignment="1" applyProtection="1">
      <alignment horizontal="left" vertical="center" wrapText="1"/>
      <protection locked="0"/>
    </xf>
    <xf numFmtId="0" fontId="14" fillId="0" borderId="1" xfId="4" applyFont="1" applyAlignment="1" applyProtection="1">
      <alignment horizontal="left" vertical="center" wrapText="1"/>
      <protection locked="0"/>
    </xf>
    <xf numFmtId="0" fontId="16" fillId="0" borderId="1" xfId="4" applyFont="1" applyAlignment="1">
      <alignment vertical="center" wrapText="1"/>
    </xf>
    <xf numFmtId="0" fontId="16" fillId="0" borderId="1" xfId="4" applyFont="1" applyAlignment="1">
      <alignment horizontal="left" vertical="center" wrapText="1"/>
    </xf>
    <xf numFmtId="0" fontId="104" fillId="59" borderId="1" xfId="4" applyFont="1" applyFill="1" applyAlignment="1">
      <alignment horizontal="left"/>
    </xf>
    <xf numFmtId="0" fontId="0" fillId="0" borderId="1" xfId="4" applyFont="1" applyAlignment="1">
      <alignment vertical="center"/>
    </xf>
    <xf numFmtId="0" fontId="16" fillId="0" borderId="1" xfId="4" applyFont="1" applyAlignment="1">
      <alignment vertical="center"/>
    </xf>
    <xf numFmtId="0" fontId="111" fillId="43" borderId="1" xfId="4" applyFont="1" applyFill="1" applyAlignment="1">
      <alignment horizontal="left" wrapText="1"/>
    </xf>
    <xf numFmtId="0" fontId="14" fillId="0" borderId="1" xfId="4" applyFont="1" applyAlignment="1">
      <alignment vertical="center" wrapText="1"/>
    </xf>
    <xf numFmtId="0" fontId="14" fillId="45" borderId="1" xfId="4" applyFont="1" applyFill="1" applyAlignment="1">
      <alignment vertical="top" wrapText="1"/>
    </xf>
    <xf numFmtId="0" fontId="14" fillId="22" borderId="1" xfId="4" applyFont="1" applyFill="1" applyAlignment="1">
      <alignment vertical="top" wrapText="1"/>
    </xf>
    <xf numFmtId="0" fontId="14" fillId="54" borderId="1" xfId="4" applyFont="1" applyFill="1" applyAlignment="1">
      <alignment vertical="center" wrapText="1"/>
    </xf>
    <xf numFmtId="0" fontId="14" fillId="54" borderId="1" xfId="4" applyFont="1" applyFill="1" applyAlignment="1">
      <alignment horizontal="left" vertical="center" wrapText="1"/>
    </xf>
    <xf numFmtId="0" fontId="14" fillId="58" borderId="1" xfId="4" applyFont="1" applyFill="1" applyAlignment="1">
      <alignment horizontal="left" vertical="top" wrapText="1"/>
    </xf>
    <xf numFmtId="0" fontId="16" fillId="55" borderId="1" xfId="4" applyFont="1" applyFill="1" applyAlignment="1">
      <alignment vertical="top" wrapText="1"/>
    </xf>
    <xf numFmtId="0" fontId="16" fillId="54" borderId="1" xfId="4" applyFont="1" applyFill="1" applyAlignment="1">
      <alignment vertical="center" wrapText="1"/>
    </xf>
    <xf numFmtId="0" fontId="16" fillId="64" borderId="1" xfId="4" applyFont="1" applyFill="1" applyAlignment="1">
      <alignment vertical="center" wrapText="1"/>
    </xf>
    <xf numFmtId="0" fontId="16" fillId="67" borderId="1" xfId="4" applyFont="1" applyFill="1" applyAlignment="1">
      <alignment vertical="center" wrapText="1"/>
    </xf>
    <xf numFmtId="0" fontId="16" fillId="69" borderId="1" xfId="4" applyFont="1" applyFill="1" applyAlignment="1">
      <alignment vertical="center" wrapText="1"/>
    </xf>
    <xf numFmtId="0" fontId="87" fillId="70" borderId="1" xfId="4" applyFont="1" applyFill="1" applyAlignment="1">
      <alignment horizontal="left" vertical="center" wrapText="1"/>
    </xf>
    <xf numFmtId="0" fontId="16" fillId="0" borderId="1" xfId="4" applyFont="1"/>
    <xf numFmtId="0" fontId="16" fillId="0" borderId="1" xfId="4" applyFont="1" applyAlignment="1">
      <alignment wrapText="1"/>
    </xf>
    <xf numFmtId="169" fontId="14" fillId="0" borderId="1" xfId="5" applyNumberFormat="1" applyFont="1" applyBorder="1"/>
    <xf numFmtId="2" fontId="14" fillId="0" borderId="1" xfId="5" applyNumberFormat="1" applyFont="1" applyBorder="1"/>
    <xf numFmtId="168" fontId="14" fillId="0" borderId="1" xfId="5" applyNumberFormat="1" applyFont="1" applyBorder="1"/>
    <xf numFmtId="0" fontId="14" fillId="22" borderId="1" xfId="6" applyFont="1" applyFill="1"/>
    <xf numFmtId="0" fontId="14" fillId="22" borderId="1" xfId="6" applyFont="1" applyFill="1" applyAlignment="1">
      <alignment horizontal="right"/>
    </xf>
    <xf numFmtId="0" fontId="14" fillId="22" borderId="1" xfId="9" applyFont="1" applyFill="1" applyBorder="1" applyAlignment="1">
      <alignment horizontal="left" vertical="top"/>
    </xf>
    <xf numFmtId="169" fontId="14" fillId="22" borderId="1" xfId="10" applyNumberFormat="1" applyFont="1" applyFill="1" applyAlignment="1">
      <alignment vertical="top"/>
    </xf>
    <xf numFmtId="170" fontId="14" fillId="22" borderId="1" xfId="6" applyNumberFormat="1" applyFont="1" applyFill="1" applyAlignment="1">
      <alignment horizontal="left" vertical="top"/>
    </xf>
    <xf numFmtId="0" fontId="14" fillId="22" borderId="1" xfId="6" applyFont="1" applyFill="1" applyAlignment="1">
      <alignment horizontal="left" vertical="top" wrapText="1"/>
    </xf>
    <xf numFmtId="0" fontId="14" fillId="22" borderId="1" xfId="6" applyFont="1" applyFill="1" applyAlignment="1">
      <alignment horizontal="left" vertical="top"/>
    </xf>
    <xf numFmtId="2" fontId="14" fillId="22" borderId="1" xfId="6" applyNumberFormat="1" applyFont="1" applyFill="1" applyAlignment="1">
      <alignment horizontal="right"/>
    </xf>
    <xf numFmtId="2" fontId="14" fillId="22" borderId="1" xfId="6" applyNumberFormat="1" applyFont="1" applyFill="1"/>
    <xf numFmtId="9" fontId="14" fillId="22" borderId="1" xfId="6" applyNumberFormat="1" applyFont="1" applyFill="1"/>
    <xf numFmtId="0" fontId="14" fillId="22" borderId="71" xfId="6" applyFont="1" applyFill="1" applyBorder="1"/>
    <xf numFmtId="2" fontId="14" fillId="22" borderId="71" xfId="6" applyNumberFormat="1" applyFont="1" applyFill="1" applyBorder="1" applyAlignment="1">
      <alignment horizontal="right"/>
    </xf>
    <xf numFmtId="2" fontId="14" fillId="22" borderId="71" xfId="6" applyNumberFormat="1" applyFont="1" applyFill="1" applyBorder="1"/>
    <xf numFmtId="9" fontId="14" fillId="22" borderId="71" xfId="6" applyNumberFormat="1" applyFont="1" applyFill="1" applyBorder="1"/>
    <xf numFmtId="0" fontId="14" fillId="22" borderId="1" xfId="6" applyFont="1" applyFill="1" applyAlignment="1">
      <alignment horizontal="left" vertical="center"/>
    </xf>
    <xf numFmtId="0" fontId="14" fillId="22" borderId="71" xfId="6" applyFont="1" applyFill="1" applyBorder="1" applyAlignment="1">
      <alignment horizontal="left" vertical="center"/>
    </xf>
    <xf numFmtId="43" fontId="14" fillId="22" borderId="71" xfId="10" applyFont="1" applyFill="1" applyBorder="1" applyAlignment="1">
      <alignment horizontal="right" vertical="center"/>
    </xf>
    <xf numFmtId="43" fontId="14" fillId="22" borderId="71" xfId="10" applyFont="1" applyFill="1" applyBorder="1" applyAlignment="1">
      <alignment horizontal="left" vertical="center"/>
    </xf>
    <xf numFmtId="169" fontId="14" fillId="22" borderId="1" xfId="10" applyNumberFormat="1" applyFont="1" applyFill="1" applyAlignment="1">
      <alignment horizontal="left" vertical="center"/>
    </xf>
    <xf numFmtId="43" fontId="14" fillId="22" borderId="1" xfId="10" applyFont="1" applyFill="1" applyAlignment="1">
      <alignment horizontal="right" vertical="center"/>
    </xf>
    <xf numFmtId="43" fontId="14" fillId="22" borderId="1" xfId="10" applyFont="1" applyFill="1" applyAlignment="1">
      <alignment horizontal="left" vertical="center"/>
    </xf>
    <xf numFmtId="168" fontId="14" fillId="22" borderId="1" xfId="10" applyNumberFormat="1" applyFont="1" applyFill="1" applyAlignment="1">
      <alignment horizontal="right" vertical="center"/>
    </xf>
    <xf numFmtId="168" fontId="14" fillId="22" borderId="1" xfId="10" applyNumberFormat="1" applyFont="1" applyFill="1" applyAlignment="1">
      <alignment horizontal="left" vertical="center"/>
    </xf>
    <xf numFmtId="9" fontId="14" fillId="22" borderId="1" xfId="13" applyFont="1" applyFill="1" applyAlignment="1">
      <alignment horizontal="right" vertical="center"/>
    </xf>
    <xf numFmtId="168" fontId="14" fillId="22" borderId="71" xfId="10" applyNumberFormat="1" applyFont="1" applyFill="1" applyBorder="1" applyAlignment="1">
      <alignment horizontal="right" vertical="center"/>
    </xf>
    <xf numFmtId="168" fontId="14" fillId="22" borderId="71" xfId="10" applyNumberFormat="1" applyFont="1" applyFill="1" applyBorder="1" applyAlignment="1">
      <alignment horizontal="left" vertical="center"/>
    </xf>
    <xf numFmtId="9" fontId="14" fillId="22" borderId="71" xfId="13" applyFont="1" applyFill="1" applyBorder="1" applyAlignment="1">
      <alignment horizontal="right" vertical="center"/>
    </xf>
    <xf numFmtId="0" fontId="0" fillId="0" borderId="0" xfId="0" pivotButton="1"/>
    <xf numFmtId="0" fontId="0" fillId="0" borderId="0" xfId="0" applyAlignment="1">
      <alignment horizontal="left"/>
    </xf>
    <xf numFmtId="175" fontId="0" fillId="0" borderId="0" xfId="0" applyNumberFormat="1"/>
    <xf numFmtId="0" fontId="130" fillId="0" borderId="1" xfId="14" applyFont="1" applyAlignment="1">
      <alignment wrapText="1"/>
    </xf>
    <xf numFmtId="169" fontId="0" fillId="22" borderId="71" xfId="10" applyNumberFormat="1" applyFont="1" applyFill="1" applyBorder="1" applyAlignment="1">
      <alignment horizontal="right"/>
    </xf>
    <xf numFmtId="0" fontId="152" fillId="0" borderId="0" xfId="17"/>
    <xf numFmtId="0" fontId="32" fillId="0" borderId="1" xfId="16" applyFont="1"/>
    <xf numFmtId="0" fontId="16" fillId="0" borderId="1" xfId="16" applyFont="1"/>
    <xf numFmtId="0" fontId="16" fillId="0" borderId="1" xfId="16" quotePrefix="1" applyFont="1"/>
    <xf numFmtId="167" fontId="16" fillId="0" borderId="1" xfId="5" applyNumberFormat="1" applyFont="1" applyFill="1" applyBorder="1"/>
    <xf numFmtId="165" fontId="16" fillId="0" borderId="1" xfId="16" applyNumberFormat="1" applyFont="1"/>
    <xf numFmtId="170" fontId="16" fillId="0" borderId="1" xfId="16" applyNumberFormat="1" applyFont="1"/>
    <xf numFmtId="167" fontId="16" fillId="0" borderId="1" xfId="5" applyNumberFormat="1" applyFont="1" applyBorder="1"/>
    <xf numFmtId="167" fontId="16" fillId="0" borderId="1" xfId="16" applyNumberFormat="1" applyFont="1"/>
    <xf numFmtId="0" fontId="32" fillId="78" borderId="1" xfId="16" applyFont="1" applyFill="1"/>
    <xf numFmtId="0" fontId="16" fillId="78" borderId="1" xfId="16" applyFont="1" applyFill="1"/>
    <xf numFmtId="0" fontId="71" fillId="35" borderId="1" xfId="0" applyFont="1" applyFill="1" applyBorder="1" applyAlignment="1">
      <alignment horizontal="left" vertical="center"/>
    </xf>
    <xf numFmtId="0" fontId="154" fillId="37" borderId="1" xfId="0" applyFont="1" applyFill="1" applyBorder="1" applyAlignment="1">
      <alignment horizontal="left" vertical="center"/>
    </xf>
    <xf numFmtId="0" fontId="154" fillId="43" borderId="1" xfId="0" applyFont="1" applyFill="1" applyBorder="1" applyAlignment="1">
      <alignment horizontal="left"/>
    </xf>
    <xf numFmtId="0" fontId="111" fillId="78" borderId="1" xfId="16" applyFont="1" applyFill="1"/>
    <xf numFmtId="0" fontId="155" fillId="78" borderId="1" xfId="16" applyFont="1" applyFill="1"/>
    <xf numFmtId="0" fontId="112" fillId="78" borderId="1" xfId="16" applyFont="1" applyFill="1"/>
    <xf numFmtId="0" fontId="112" fillId="0" borderId="1" xfId="16" applyFont="1"/>
    <xf numFmtId="0" fontId="156" fillId="35" borderId="1" xfId="0" applyFont="1" applyFill="1" applyBorder="1" applyAlignment="1">
      <alignment horizontal="left" vertical="center"/>
    </xf>
    <xf numFmtId="0" fontId="64" fillId="37" borderId="1" xfId="0" applyFont="1" applyFill="1" applyBorder="1" applyAlignment="1">
      <alignment horizontal="left" vertical="center"/>
    </xf>
    <xf numFmtId="0" fontId="35" fillId="44" borderId="1" xfId="0" applyFont="1" applyFill="1" applyBorder="1" applyAlignment="1">
      <alignment horizontal="left" vertical="center"/>
    </xf>
    <xf numFmtId="0" fontId="25" fillId="44" borderId="1" xfId="0" applyFont="1" applyFill="1" applyBorder="1" applyAlignment="1">
      <alignment horizontal="left" vertical="center"/>
    </xf>
    <xf numFmtId="0" fontId="109" fillId="47" borderId="1" xfId="0" applyFont="1" applyFill="1" applyBorder="1" applyAlignment="1">
      <alignment horizontal="left"/>
    </xf>
    <xf numFmtId="0" fontId="157" fillId="11" borderId="1" xfId="0" applyFont="1" applyFill="1" applyBorder="1" applyAlignment="1">
      <alignment horizontal="left" vertical="center"/>
    </xf>
    <xf numFmtId="0" fontId="158" fillId="11" borderId="1" xfId="0" applyFont="1" applyFill="1" applyBorder="1" applyAlignment="1">
      <alignment horizontal="left" vertical="center"/>
    </xf>
    <xf numFmtId="0" fontId="144" fillId="22" borderId="1" xfId="6" applyFont="1" applyFill="1" applyAlignment="1">
      <alignment horizontal="left" vertical="center"/>
    </xf>
    <xf numFmtId="0" fontId="157" fillId="12" borderId="1" xfId="0" applyFont="1" applyFill="1" applyBorder="1" applyAlignment="1">
      <alignment horizontal="left" vertical="center"/>
    </xf>
    <xf numFmtId="0" fontId="123" fillId="9" borderId="1" xfId="0" applyFont="1" applyFill="1" applyBorder="1" applyAlignment="1">
      <alignment horizontal="left" vertical="center"/>
    </xf>
    <xf numFmtId="0" fontId="16" fillId="0" borderId="1" xfId="6" applyAlignment="1">
      <alignment horizontal="left" vertical="center"/>
    </xf>
    <xf numFmtId="0" fontId="14" fillId="0" borderId="1" xfId="6" applyFont="1" applyAlignment="1">
      <alignment horizontal="left" vertical="center"/>
    </xf>
    <xf numFmtId="0" fontId="15" fillId="0" borderId="1" xfId="6" applyFont="1" applyAlignment="1">
      <alignment horizontal="left" vertical="center"/>
    </xf>
    <xf numFmtId="0" fontId="112" fillId="0" borderId="1" xfId="6" applyFont="1" applyAlignment="1">
      <alignment horizontal="left" vertical="center"/>
    </xf>
    <xf numFmtId="0" fontId="155" fillId="79" borderId="1" xfId="8" applyFont="1" applyFill="1" applyBorder="1" applyAlignment="1">
      <alignment horizontal="left" vertical="center"/>
    </xf>
    <xf numFmtId="0" fontId="155" fillId="79" borderId="1" xfId="8" applyFont="1" applyFill="1" applyBorder="1" applyAlignment="1">
      <alignment horizontal="right" vertical="center"/>
    </xf>
    <xf numFmtId="0" fontId="155" fillId="79" borderId="1" xfId="8" applyFont="1" applyFill="1" applyBorder="1" applyAlignment="1">
      <alignment horizontal="left" vertical="center" wrapText="1"/>
    </xf>
    <xf numFmtId="0" fontId="32" fillId="79" borderId="1" xfId="8" applyFont="1" applyFill="1" applyBorder="1" applyAlignment="1">
      <alignment horizontal="left" vertical="center"/>
    </xf>
    <xf numFmtId="0" fontId="32" fillId="79" borderId="1" xfId="8" applyFont="1" applyFill="1" applyBorder="1" applyAlignment="1">
      <alignment horizontal="right" vertical="center"/>
    </xf>
    <xf numFmtId="0" fontId="32" fillId="79" borderId="1" xfId="8" applyFont="1" applyFill="1" applyBorder="1" applyAlignment="1">
      <alignment horizontal="left" vertical="center" wrapText="1"/>
    </xf>
    <xf numFmtId="0" fontId="16" fillId="22" borderId="1" xfId="6" applyFill="1" applyAlignment="1">
      <alignment horizontal="left" vertical="center"/>
    </xf>
    <xf numFmtId="0" fontId="144" fillId="0" borderId="1" xfId="6" applyFont="1" applyAlignment="1">
      <alignment horizontal="left" vertical="center"/>
    </xf>
    <xf numFmtId="0" fontId="15" fillId="0" borderId="1" xfId="6" applyFont="1" applyAlignment="1">
      <alignment horizontal="left" vertical="center" wrapText="1"/>
    </xf>
    <xf numFmtId="169" fontId="15" fillId="0" borderId="1" xfId="10" applyNumberFormat="1" applyFont="1" applyAlignment="1">
      <alignment horizontal="right" vertical="center"/>
    </xf>
    <xf numFmtId="0" fontId="16" fillId="0" borderId="1" xfId="9" applyFont="1" applyBorder="1" applyAlignment="1">
      <alignment horizontal="left" vertical="center" wrapText="1"/>
    </xf>
    <xf numFmtId="169" fontId="16" fillId="0" borderId="1" xfId="10" applyNumberFormat="1" applyAlignment="1">
      <alignment horizontal="right" vertical="center"/>
    </xf>
    <xf numFmtId="170" fontId="16" fillId="0" borderId="1" xfId="6" applyNumberFormat="1" applyAlignment="1">
      <alignment horizontal="left" vertical="center" wrapText="1"/>
    </xf>
    <xf numFmtId="0" fontId="16" fillId="0" borderId="1" xfId="11" applyFont="1" applyAlignment="1">
      <alignment horizontal="left" vertical="center" wrapText="1"/>
    </xf>
    <xf numFmtId="0" fontId="16" fillId="0" borderId="1" xfId="6" applyAlignment="1">
      <alignment horizontal="left" vertical="center" wrapText="1"/>
    </xf>
    <xf numFmtId="0" fontId="16" fillId="0" borderId="1" xfId="6" applyAlignment="1">
      <alignment wrapText="1"/>
    </xf>
    <xf numFmtId="169" fontId="16" fillId="0" borderId="1" xfId="11" applyNumberFormat="1" applyFont="1" applyAlignment="1">
      <alignment horizontal="right" vertical="center" wrapText="1"/>
    </xf>
    <xf numFmtId="170" fontId="16" fillId="0" borderId="1" xfId="6" applyNumberFormat="1" applyAlignment="1">
      <alignment horizontal="left" vertical="center"/>
    </xf>
    <xf numFmtId="0" fontId="159" fillId="79" borderId="1" xfId="8" applyFont="1" applyFill="1" applyBorder="1" applyAlignment="1">
      <alignment horizontal="left" vertical="center"/>
    </xf>
    <xf numFmtId="167" fontId="16" fillId="0" borderId="1" xfId="12" applyNumberFormat="1" applyFont="1" applyFill="1" applyBorder="1" applyAlignment="1">
      <alignment horizontal="right" vertical="center" wrapText="1"/>
    </xf>
    <xf numFmtId="169" fontId="16" fillId="0" borderId="1" xfId="12" applyNumberFormat="1" applyFont="1" applyFill="1" applyBorder="1" applyAlignment="1">
      <alignment horizontal="right" vertical="center" wrapText="1"/>
    </xf>
    <xf numFmtId="9" fontId="16" fillId="0" borderId="1" xfId="13" applyAlignment="1">
      <alignment horizontal="right" vertical="center"/>
    </xf>
    <xf numFmtId="0" fontId="11" fillId="0" borderId="1" xfId="6" applyFont="1" applyAlignment="1">
      <alignment horizontal="left" vertical="center"/>
    </xf>
    <xf numFmtId="0" fontId="16" fillId="0" borderId="1" xfId="6" applyAlignment="1">
      <alignment horizontal="right" vertical="center"/>
    </xf>
    <xf numFmtId="167" fontId="16" fillId="0" borderId="1" xfId="6" applyNumberFormat="1" applyAlignment="1">
      <alignment horizontal="right" vertical="center"/>
    </xf>
    <xf numFmtId="169" fontId="16" fillId="0" borderId="1" xfId="11" applyNumberFormat="1" applyFont="1" applyAlignment="1">
      <alignment horizontal="right" vertical="center"/>
    </xf>
    <xf numFmtId="169" fontId="16" fillId="0" borderId="1" xfId="11" applyNumberFormat="1" applyFont="1" applyAlignment="1">
      <alignment horizontal="left" vertical="center" wrapText="1"/>
    </xf>
    <xf numFmtId="0" fontId="16" fillId="0" borderId="1" xfId="11" applyFont="1" applyAlignment="1">
      <alignment horizontal="right" vertical="center"/>
    </xf>
    <xf numFmtId="43" fontId="16" fillId="0" borderId="1" xfId="10" applyAlignment="1">
      <alignment horizontal="right" vertical="center"/>
    </xf>
    <xf numFmtId="0" fontId="16" fillId="0" borderId="1" xfId="6"/>
    <xf numFmtId="0" fontId="16" fillId="0" borderId="1" xfId="14" applyFont="1" applyAlignment="1">
      <alignment horizontal="left" vertical="center"/>
    </xf>
    <xf numFmtId="0" fontId="16" fillId="0" borderId="1" xfId="6" applyAlignment="1">
      <alignment horizontal="left" vertical="top" wrapText="1"/>
    </xf>
    <xf numFmtId="0" fontId="16" fillId="0" borderId="1" xfId="9" applyFont="1" applyBorder="1" applyAlignment="1">
      <alignment horizontal="left" vertical="center"/>
    </xf>
    <xf numFmtId="172" fontId="16" fillId="0" borderId="1" xfId="10" applyNumberFormat="1" applyAlignment="1">
      <alignment horizontal="right" vertical="center" wrapText="1"/>
    </xf>
    <xf numFmtId="169" fontId="16" fillId="0" borderId="1" xfId="10" applyNumberFormat="1" applyAlignment="1">
      <alignment horizontal="right" vertical="center" wrapText="1"/>
    </xf>
    <xf numFmtId="173" fontId="16" fillId="0" borderId="1" xfId="10" applyNumberFormat="1" applyAlignment="1">
      <alignment horizontal="right" vertical="center" wrapText="1"/>
    </xf>
    <xf numFmtId="174" fontId="16" fillId="0" borderId="1" xfId="6" applyNumberFormat="1" applyAlignment="1">
      <alignment horizontal="left" vertical="center" wrapText="1"/>
    </xf>
    <xf numFmtId="0" fontId="160" fillId="9" borderId="1" xfId="0" applyFont="1" applyFill="1" applyBorder="1" applyAlignment="1">
      <alignment horizontal="left" vertical="center"/>
    </xf>
    <xf numFmtId="0" fontId="32" fillId="0" borderId="1" xfId="8" applyFont="1" applyBorder="1" applyAlignment="1">
      <alignment horizontal="left" vertical="center"/>
    </xf>
    <xf numFmtId="0" fontId="158" fillId="0" borderId="1" xfId="0" applyFont="1" applyBorder="1" applyAlignment="1">
      <alignment horizontal="left" vertical="center"/>
    </xf>
    <xf numFmtId="0" fontId="158" fillId="12" borderId="1" xfId="0" applyFont="1" applyFill="1" applyBorder="1" applyAlignment="1">
      <alignment horizontal="left" vertical="center"/>
    </xf>
    <xf numFmtId="171" fontId="16" fillId="0" borderId="1" xfId="6" applyNumberFormat="1" applyAlignment="1">
      <alignment horizontal="left" vertical="center"/>
    </xf>
    <xf numFmtId="0" fontId="161" fillId="37" borderId="1" xfId="0" applyFont="1" applyFill="1" applyBorder="1" applyAlignment="1">
      <alignment horizontal="left" vertical="center"/>
    </xf>
    <xf numFmtId="0" fontId="162" fillId="43" borderId="1" xfId="0" applyFont="1" applyFill="1" applyBorder="1" applyAlignment="1">
      <alignment horizontal="left"/>
    </xf>
    <xf numFmtId="0" fontId="163" fillId="47" borderId="1" xfId="0" applyFont="1" applyFill="1" applyBorder="1" applyAlignment="1">
      <alignment horizontal="left"/>
    </xf>
    <xf numFmtId="0" fontId="151" fillId="77" borderId="1" xfId="15" applyFont="1" applyBorder="1"/>
    <xf numFmtId="0" fontId="14" fillId="0" borderId="1" xfId="14" applyFont="1"/>
    <xf numFmtId="0" fontId="12" fillId="0" borderId="1" xfId="14" applyFont="1"/>
    <xf numFmtId="2" fontId="15" fillId="22" borderId="1" xfId="14" applyNumberFormat="1" applyFill="1"/>
    <xf numFmtId="0" fontId="13" fillId="0" borderId="1" xfId="14" applyFont="1"/>
    <xf numFmtId="2" fontId="14" fillId="0" borderId="1" xfId="14" applyNumberFormat="1" applyFont="1"/>
    <xf numFmtId="169" fontId="11" fillId="0" borderId="1" xfId="10" applyNumberFormat="1" applyFont="1" applyAlignment="1">
      <alignment horizontal="right" vertical="center"/>
    </xf>
    <xf numFmtId="0" fontId="11" fillId="0" borderId="1" xfId="6" applyFont="1" applyAlignment="1">
      <alignment horizontal="left" vertical="center" wrapText="1"/>
    </xf>
    <xf numFmtId="0" fontId="11" fillId="0" borderId="1" xfId="14" applyFont="1"/>
    <xf numFmtId="169" fontId="11" fillId="0" borderId="1" xfId="10" applyNumberFormat="1" applyFont="1" applyAlignment="1">
      <alignment horizontal="left" vertical="center"/>
    </xf>
    <xf numFmtId="0" fontId="153" fillId="0" borderId="1" xfId="6" applyFont="1" applyAlignment="1">
      <alignment horizontal="left" vertical="center"/>
    </xf>
    <xf numFmtId="0" fontId="131" fillId="81" borderId="1" xfId="6" applyFont="1" applyFill="1"/>
    <xf numFmtId="0" fontId="16" fillId="81" borderId="1" xfId="6" applyFill="1"/>
    <xf numFmtId="0" fontId="16" fillId="81" borderId="1" xfId="6" applyFill="1" applyAlignment="1">
      <alignment horizontal="right"/>
    </xf>
    <xf numFmtId="0" fontId="146" fillId="22" borderId="1" xfId="6" applyFont="1" applyFill="1"/>
    <xf numFmtId="0" fontId="147" fillId="22" borderId="1" xfId="6" applyFont="1" applyFill="1" applyAlignment="1">
      <alignment horizontal="left" vertical="center"/>
    </xf>
    <xf numFmtId="0" fontId="147" fillId="22" borderId="1" xfId="6" applyFont="1" applyFill="1" applyAlignment="1">
      <alignment horizontal="right" vertical="center"/>
    </xf>
    <xf numFmtId="169" fontId="147" fillId="22" borderId="1" xfId="10" applyNumberFormat="1" applyFont="1" applyFill="1" applyAlignment="1">
      <alignment horizontal="left" vertical="center"/>
    </xf>
    <xf numFmtId="0" fontId="147" fillId="22" borderId="71" xfId="6" applyFont="1" applyFill="1" applyBorder="1" applyAlignment="1">
      <alignment horizontal="right" vertical="center"/>
    </xf>
    <xf numFmtId="0" fontId="147" fillId="22" borderId="71" xfId="6" applyFont="1" applyFill="1" applyBorder="1" applyAlignment="1">
      <alignment horizontal="left" vertical="center"/>
    </xf>
    <xf numFmtId="0" fontId="47" fillId="12" borderId="1" xfId="0" applyFont="1" applyFill="1" applyBorder="1" applyAlignment="1">
      <alignment horizontal="left" vertical="center"/>
    </xf>
    <xf numFmtId="0" fontId="72" fillId="37" borderId="1" xfId="0" applyFont="1" applyFill="1" applyBorder="1" applyAlignment="1">
      <alignment horizontal="left" vertical="center"/>
    </xf>
    <xf numFmtId="43" fontId="16" fillId="22" borderId="1" xfId="10" applyFill="1" applyAlignment="1">
      <alignment horizontal="right"/>
    </xf>
    <xf numFmtId="43" fontId="16" fillId="22" borderId="1" xfId="10" applyFill="1"/>
    <xf numFmtId="0" fontId="11" fillId="22" borderId="1" xfId="6" applyFont="1" applyFill="1" applyAlignment="1">
      <alignment horizontal="left" vertical="center"/>
    </xf>
    <xf numFmtId="0" fontId="15" fillId="22" borderId="1" xfId="14" applyFill="1"/>
    <xf numFmtId="0" fontId="15" fillId="22" borderId="71" xfId="14" applyFill="1" applyBorder="1"/>
    <xf numFmtId="0" fontId="15" fillId="22" borderId="1" xfId="14" applyFill="1" applyAlignment="1">
      <alignment horizontal="left" vertical="top"/>
    </xf>
    <xf numFmtId="0" fontId="164" fillId="31" borderId="1" xfId="0" applyFont="1" applyFill="1" applyBorder="1" applyAlignment="1">
      <alignment horizontal="left" vertical="center"/>
    </xf>
    <xf numFmtId="0" fontId="16" fillId="79" borderId="1" xfId="8" applyFont="1" applyFill="1" applyBorder="1" applyAlignment="1">
      <alignment horizontal="left" vertical="center" wrapText="1"/>
    </xf>
    <xf numFmtId="0" fontId="112" fillId="82" borderId="1" xfId="16" applyFont="1" applyFill="1"/>
    <xf numFmtId="0" fontId="16" fillId="82" borderId="1" xfId="16" applyFont="1" applyFill="1"/>
    <xf numFmtId="0" fontId="0" fillId="83" borderId="0" xfId="0" applyFill="1"/>
    <xf numFmtId="0" fontId="131" fillId="2" borderId="1" xfId="4" applyFont="1" applyFill="1" applyAlignment="1" applyProtection="1">
      <alignment horizontal="left" vertical="center"/>
      <protection locked="0"/>
    </xf>
    <xf numFmtId="0" fontId="0" fillId="67" borderId="0" xfId="0" applyFill="1"/>
    <xf numFmtId="0" fontId="16" fillId="67" borderId="1" xfId="4" applyFont="1" applyFill="1" applyAlignment="1">
      <alignment horizontal="left" vertical="top" wrapText="1"/>
    </xf>
    <xf numFmtId="0" fontId="17" fillId="67" borderId="1" xfId="4" applyFont="1" applyFill="1"/>
    <xf numFmtId="0" fontId="111" fillId="2" borderId="1" xfId="4" applyFont="1" applyFill="1" applyAlignment="1" applyProtection="1">
      <alignment horizontal="left" vertical="center"/>
      <protection locked="0"/>
    </xf>
    <xf numFmtId="0" fontId="111" fillId="2" borderId="1" xfId="4" applyFont="1" applyFill="1" applyAlignment="1" applyProtection="1">
      <alignment horizontal="left" vertical="center" wrapText="1"/>
      <protection locked="0"/>
    </xf>
    <xf numFmtId="0" fontId="104" fillId="0" borderId="1" xfId="4" applyFont="1" applyAlignment="1" applyProtection="1">
      <alignment horizontal="left" vertical="center"/>
      <protection locked="0"/>
    </xf>
    <xf numFmtId="0" fontId="104" fillId="0" borderId="1" xfId="4" applyFont="1" applyAlignment="1" applyProtection="1">
      <alignment horizontal="left" vertical="center" wrapText="1"/>
      <protection locked="0"/>
    </xf>
    <xf numFmtId="0" fontId="34" fillId="17" borderId="3" xfId="0" applyFont="1" applyFill="1" applyBorder="1" applyAlignment="1">
      <alignment horizontal="left" vertical="center" wrapText="1"/>
    </xf>
    <xf numFmtId="0" fontId="118" fillId="84" borderId="1" xfId="4" applyFont="1" applyFill="1" applyAlignment="1" applyProtection="1">
      <alignment horizontal="left" vertical="center"/>
      <protection locked="0"/>
    </xf>
    <xf numFmtId="0" fontId="118" fillId="84" borderId="1" xfId="4" applyFont="1" applyFill="1" applyAlignment="1" applyProtection="1">
      <alignment horizontal="left" vertical="center" wrapText="1"/>
      <protection locked="0"/>
    </xf>
    <xf numFmtId="0" fontId="131" fillId="84" borderId="1" xfId="4" applyFont="1" applyFill="1" applyAlignment="1" applyProtection="1">
      <alignment horizontal="left" vertical="center"/>
      <protection locked="0"/>
    </xf>
    <xf numFmtId="0" fontId="34" fillId="84" borderId="1" xfId="4" applyFont="1" applyFill="1" applyAlignment="1" applyProtection="1">
      <alignment horizontal="left" vertical="center"/>
      <protection locked="0"/>
    </xf>
    <xf numFmtId="0" fontId="33" fillId="78" borderId="1" xfId="0" applyFont="1" applyFill="1" applyBorder="1" applyAlignment="1">
      <alignment horizontal="left" vertical="center"/>
    </xf>
    <xf numFmtId="0" fontId="167" fillId="78" borderId="0" xfId="0" applyFont="1" applyFill="1"/>
    <xf numFmtId="0" fontId="81" fillId="78" borderId="0" xfId="0" applyFont="1" applyFill="1"/>
    <xf numFmtId="0" fontId="81" fillId="78" borderId="1" xfId="0" applyFont="1" applyFill="1" applyBorder="1"/>
    <xf numFmtId="0" fontId="106" fillId="78" borderId="0" xfId="0" applyFont="1" applyFill="1"/>
    <xf numFmtId="0" fontId="81" fillId="78" borderId="1" xfId="4" applyFont="1" applyFill="1" applyAlignment="1">
      <alignment horizontal="left" vertical="top" wrapText="1"/>
    </xf>
    <xf numFmtId="0" fontId="81" fillId="78" borderId="1" xfId="4" applyFont="1" applyFill="1"/>
    <xf numFmtId="0" fontId="104" fillId="84" borderId="1" xfId="4" applyFont="1" applyFill="1" applyAlignment="1" applyProtection="1">
      <alignment vertical="center"/>
      <protection locked="0"/>
    </xf>
    <xf numFmtId="0" fontId="34" fillId="84" borderId="1" xfId="4" applyFont="1" applyFill="1" applyAlignment="1" applyProtection="1">
      <alignment vertical="center"/>
      <protection locked="0"/>
    </xf>
    <xf numFmtId="0" fontId="34" fillId="84" borderId="1" xfId="4" applyFont="1" applyFill="1" applyAlignment="1" applyProtection="1">
      <alignment vertical="center" wrapText="1"/>
      <protection locked="0"/>
    </xf>
    <xf numFmtId="0" fontId="33" fillId="78" borderId="1" xfId="4" applyFont="1" applyFill="1" applyAlignment="1">
      <alignment horizontal="left" vertical="center" wrapText="1"/>
    </xf>
    <xf numFmtId="0" fontId="81" fillId="78" borderId="83" xfId="0" applyFont="1" applyFill="1" applyBorder="1"/>
    <xf numFmtId="0" fontId="81" fillId="78" borderId="84" xfId="0" applyFont="1" applyFill="1" applyBorder="1"/>
    <xf numFmtId="0" fontId="81" fillId="78" borderId="85" xfId="0" applyFont="1" applyFill="1" applyBorder="1"/>
    <xf numFmtId="0" fontId="81" fillId="78" borderId="86" xfId="0" applyFont="1" applyFill="1" applyBorder="1"/>
    <xf numFmtId="0" fontId="81" fillId="78" borderId="81" xfId="0" applyFont="1" applyFill="1" applyBorder="1"/>
    <xf numFmtId="0" fontId="81" fillId="78" borderId="1" xfId="0" applyFont="1" applyFill="1" applyBorder="1" applyAlignment="1">
      <alignment vertical="center"/>
    </xf>
    <xf numFmtId="0" fontId="48" fillId="78" borderId="1" xfId="0" applyFont="1" applyFill="1" applyBorder="1"/>
    <xf numFmtId="0" fontId="81" fillId="78" borderId="87" xfId="0" applyFont="1" applyFill="1" applyBorder="1"/>
    <xf numFmtId="0" fontId="81" fillId="78" borderId="82" xfId="0" applyFont="1" applyFill="1" applyBorder="1"/>
    <xf numFmtId="0" fontId="81" fillId="78" borderId="88" xfId="0" applyFont="1" applyFill="1" applyBorder="1"/>
    <xf numFmtId="0" fontId="68" fillId="78" borderId="1" xfId="0" applyFont="1" applyFill="1" applyBorder="1"/>
    <xf numFmtId="0" fontId="137" fillId="78" borderId="1" xfId="0" applyFont="1" applyFill="1" applyBorder="1"/>
    <xf numFmtId="0" fontId="168" fillId="78" borderId="1" xfId="0" applyFont="1" applyFill="1" applyBorder="1"/>
    <xf numFmtId="0" fontId="33" fillId="78" borderId="1" xfId="0" applyFont="1" applyFill="1" applyBorder="1"/>
    <xf numFmtId="0" fontId="106" fillId="78" borderId="89" xfId="0" applyFont="1" applyFill="1" applyBorder="1"/>
    <xf numFmtId="0" fontId="81" fillId="78" borderId="89" xfId="0" applyFont="1" applyFill="1" applyBorder="1"/>
    <xf numFmtId="0" fontId="10" fillId="0" borderId="1" xfId="14" applyFont="1"/>
    <xf numFmtId="168" fontId="15" fillId="0" borderId="1" xfId="5" applyNumberFormat="1" applyFont="1" applyBorder="1"/>
    <xf numFmtId="168" fontId="14" fillId="16" borderId="1" xfId="5" applyNumberFormat="1" applyFont="1" applyFill="1" applyBorder="1"/>
    <xf numFmtId="0" fontId="0" fillId="22" borderId="0" xfId="0" applyFill="1"/>
    <xf numFmtId="0" fontId="111" fillId="22" borderId="0" xfId="0" applyFont="1" applyFill="1"/>
    <xf numFmtId="0" fontId="0" fillId="22" borderId="0" xfId="0" applyFill="1" applyAlignment="1">
      <alignment vertical="center"/>
    </xf>
    <xf numFmtId="0" fontId="166" fillId="85" borderId="1" xfId="4" applyFont="1" applyFill="1" applyAlignment="1" applyProtection="1">
      <alignment horizontal="left" vertical="center"/>
      <protection locked="0"/>
    </xf>
    <xf numFmtId="0" fontId="119" fillId="33" borderId="1" xfId="4" applyFont="1" applyFill="1" applyAlignment="1" applyProtection="1">
      <alignment horizontal="left" vertical="top" wrapText="1"/>
      <protection locked="0"/>
    </xf>
    <xf numFmtId="0" fontId="119" fillId="19" borderId="1" xfId="4" applyFont="1" applyFill="1" applyAlignment="1" applyProtection="1">
      <alignment horizontal="left" vertical="top" wrapText="1"/>
      <protection locked="0"/>
    </xf>
    <xf numFmtId="0" fontId="119" fillId="33" borderId="1" xfId="4" applyFont="1" applyFill="1" applyAlignment="1" applyProtection="1">
      <alignment horizontal="left" vertical="top"/>
      <protection locked="0"/>
    </xf>
    <xf numFmtId="0" fontId="166" fillId="86" borderId="1" xfId="4" applyFont="1" applyFill="1" applyAlignment="1" applyProtection="1">
      <alignment horizontal="left" vertical="center"/>
      <protection locked="0"/>
    </xf>
    <xf numFmtId="0" fontId="166" fillId="87" borderId="1" xfId="4" applyFont="1" applyFill="1" applyAlignment="1" applyProtection="1">
      <alignment horizontal="left" vertical="center"/>
      <protection locked="0"/>
    </xf>
    <xf numFmtId="0" fontId="166" fillId="88" borderId="1" xfId="4" applyFont="1" applyFill="1" applyAlignment="1" applyProtection="1">
      <alignment horizontal="left" vertical="center"/>
      <protection locked="0"/>
    </xf>
    <xf numFmtId="0" fontId="112" fillId="22" borderId="0" xfId="0" applyFont="1" applyFill="1"/>
    <xf numFmtId="0" fontId="171" fillId="42" borderId="1" xfId="0" applyFont="1" applyFill="1" applyBorder="1" applyAlignment="1">
      <alignment horizontal="left" vertical="top"/>
    </xf>
    <xf numFmtId="0" fontId="171" fillId="44" borderId="1" xfId="0" applyFont="1" applyFill="1" applyBorder="1" applyAlignment="1">
      <alignment vertical="center"/>
    </xf>
    <xf numFmtId="0" fontId="147" fillId="10" borderId="1" xfId="0" applyFont="1" applyFill="1" applyBorder="1" applyAlignment="1">
      <alignment wrapText="1"/>
    </xf>
    <xf numFmtId="0" fontId="147" fillId="10" borderId="1" xfId="0" applyFont="1" applyFill="1" applyBorder="1"/>
    <xf numFmtId="0" fontId="171" fillId="24" borderId="1" xfId="0" applyFont="1" applyFill="1" applyBorder="1" applyAlignment="1">
      <alignment vertical="center"/>
    </xf>
    <xf numFmtId="0" fontId="116" fillId="26" borderId="1" xfId="0" applyFont="1" applyFill="1" applyBorder="1" applyAlignment="1">
      <alignment horizontal="left"/>
    </xf>
    <xf numFmtId="0" fontId="171" fillId="31" borderId="1" xfId="0" applyFont="1" applyFill="1" applyBorder="1" applyAlignment="1">
      <alignment horizontal="left" vertical="center" wrapText="1"/>
    </xf>
    <xf numFmtId="0" fontId="16" fillId="22" borderId="1" xfId="0" applyFont="1" applyFill="1" applyBorder="1"/>
    <xf numFmtId="0" fontId="112" fillId="22" borderId="1" xfId="6" applyFont="1" applyFill="1" applyAlignment="1">
      <alignment horizontal="left" vertical="center"/>
    </xf>
    <xf numFmtId="0" fontId="15" fillId="22" borderId="1" xfId="6" applyFont="1" applyFill="1" applyAlignment="1">
      <alignment horizontal="left" vertical="center"/>
    </xf>
    <xf numFmtId="0" fontId="153" fillId="22" borderId="1" xfId="6" applyFont="1" applyFill="1" applyAlignment="1">
      <alignment horizontal="left" vertical="center"/>
    </xf>
    <xf numFmtId="0" fontId="16" fillId="22" borderId="1" xfId="16" applyFont="1" applyFill="1"/>
    <xf numFmtId="0" fontId="112" fillId="22" borderId="1" xfId="16" applyFont="1" applyFill="1"/>
    <xf numFmtId="169" fontId="15" fillId="22" borderId="1" xfId="5" applyNumberFormat="1" applyFont="1" applyFill="1" applyBorder="1"/>
    <xf numFmtId="168" fontId="15" fillId="22" borderId="1" xfId="5" applyNumberFormat="1" applyFont="1" applyFill="1" applyBorder="1"/>
    <xf numFmtId="175" fontId="15" fillId="22" borderId="1" xfId="14" applyNumberFormat="1" applyFill="1"/>
    <xf numFmtId="1" fontId="15" fillId="22" borderId="1" xfId="14" applyNumberFormat="1" applyFill="1"/>
    <xf numFmtId="0" fontId="32" fillId="22" borderId="1" xfId="16" applyFont="1" applyFill="1"/>
    <xf numFmtId="0" fontId="81" fillId="89" borderId="1" xfId="0" applyFont="1" applyFill="1" applyBorder="1"/>
    <xf numFmtId="0" fontId="118" fillId="90" borderId="1" xfId="4" applyFont="1" applyFill="1" applyAlignment="1" applyProtection="1">
      <alignment horizontal="left" vertical="center"/>
      <protection locked="0"/>
    </xf>
    <xf numFmtId="0" fontId="118" fillId="90" borderId="1" xfId="4" applyFont="1" applyFill="1" applyAlignment="1" applyProtection="1">
      <alignment horizontal="left" vertical="center" wrapText="1"/>
      <protection locked="0"/>
    </xf>
    <xf numFmtId="0" fontId="131" fillId="90" borderId="1" xfId="4" applyFont="1" applyFill="1" applyAlignment="1" applyProtection="1">
      <alignment horizontal="left" vertical="center"/>
      <protection locked="0"/>
    </xf>
    <xf numFmtId="0" fontId="81" fillId="89" borderId="1" xfId="4" applyFont="1" applyFill="1" applyAlignment="1">
      <alignment horizontal="left" vertical="top" wrapText="1"/>
    </xf>
    <xf numFmtId="0" fontId="81" fillId="89" borderId="1" xfId="4" applyFont="1" applyFill="1"/>
    <xf numFmtId="0" fontId="104" fillId="90" borderId="1" xfId="4" applyFont="1" applyFill="1" applyAlignment="1" applyProtection="1">
      <alignment vertical="center"/>
      <protection locked="0"/>
    </xf>
    <xf numFmtId="0" fontId="34" fillId="90" borderId="1" xfId="4" applyFont="1" applyFill="1" applyAlignment="1" applyProtection="1">
      <alignment vertical="center"/>
      <protection locked="0"/>
    </xf>
    <xf numFmtId="0" fontId="34" fillId="90" borderId="1" xfId="4" applyFont="1" applyFill="1" applyAlignment="1" applyProtection="1">
      <alignment vertical="center" wrapText="1"/>
      <protection locked="0"/>
    </xf>
    <xf numFmtId="0" fontId="34" fillId="90" borderId="1" xfId="4" applyFont="1" applyFill="1" applyAlignment="1" applyProtection="1">
      <alignment horizontal="left" vertical="center"/>
      <protection locked="0"/>
    </xf>
    <xf numFmtId="0" fontId="33" fillId="89" borderId="1" xfId="4" applyFont="1" applyFill="1" applyAlignment="1">
      <alignment horizontal="left" vertical="center" wrapText="1"/>
    </xf>
    <xf numFmtId="0" fontId="33" fillId="89" borderId="1" xfId="0" applyFont="1" applyFill="1" applyBorder="1" applyAlignment="1">
      <alignment horizontal="left" vertical="center"/>
    </xf>
    <xf numFmtId="0" fontId="106" fillId="89" borderId="0" xfId="0" applyFont="1" applyFill="1"/>
    <xf numFmtId="0" fontId="81" fillId="89" borderId="0" xfId="0" applyFont="1" applyFill="1"/>
    <xf numFmtId="0" fontId="106" fillId="89" borderId="89" xfId="0" applyFont="1" applyFill="1" applyBorder="1"/>
    <xf numFmtId="0" fontId="170" fillId="89" borderId="89" xfId="0" applyFont="1" applyFill="1" applyBorder="1"/>
    <xf numFmtId="0" fontId="81" fillId="89" borderId="89" xfId="0" applyFont="1" applyFill="1" applyBorder="1"/>
    <xf numFmtId="0" fontId="81" fillId="89" borderId="1" xfId="0" applyFont="1" applyFill="1" applyBorder="1" applyAlignment="1">
      <alignment vertical="center"/>
    </xf>
    <xf numFmtId="0" fontId="48" fillId="89" borderId="1" xfId="0" applyFont="1" applyFill="1" applyBorder="1"/>
    <xf numFmtId="0" fontId="68" fillId="89" borderId="1" xfId="0" applyFont="1" applyFill="1" applyBorder="1"/>
    <xf numFmtId="0" fontId="167" fillId="89" borderId="0" xfId="0" applyFont="1" applyFill="1"/>
    <xf numFmtId="0" fontId="137" fillId="89" borderId="1" xfId="0" applyFont="1" applyFill="1" applyBorder="1"/>
    <xf numFmtId="0" fontId="168" fillId="89" borderId="1" xfId="0" applyFont="1" applyFill="1" applyBorder="1"/>
    <xf numFmtId="0" fontId="33" fillId="89" borderId="1" xfId="0" applyFont="1" applyFill="1" applyBorder="1"/>
    <xf numFmtId="0" fontId="33" fillId="78" borderId="1" xfId="4" applyFont="1" applyFill="1"/>
    <xf numFmtId="0" fontId="34" fillId="89" borderId="1" xfId="4" applyFont="1" applyFill="1"/>
    <xf numFmtId="0" fontId="167" fillId="89" borderId="0" xfId="0" applyFont="1" applyFill="1" applyAlignment="1">
      <alignment horizontal="left"/>
    </xf>
    <xf numFmtId="0" fontId="81" fillId="80" borderId="0" xfId="0" applyFont="1" applyFill="1"/>
    <xf numFmtId="0" fontId="146" fillId="80" borderId="0" xfId="0" applyFont="1" applyFill="1"/>
    <xf numFmtId="0" fontId="9" fillId="0" borderId="1" xfId="14" applyFont="1"/>
    <xf numFmtId="167" fontId="9" fillId="0" borderId="1" xfId="5" applyNumberFormat="1" applyFont="1" applyFill="1" applyBorder="1"/>
    <xf numFmtId="168" fontId="9" fillId="0" borderId="1" xfId="5" applyNumberFormat="1" applyFont="1" applyBorder="1"/>
    <xf numFmtId="0" fontId="8" fillId="0" borderId="1" xfId="14" applyFont="1"/>
    <xf numFmtId="2" fontId="8" fillId="0" borderId="1" xfId="14" applyNumberFormat="1" applyFont="1"/>
    <xf numFmtId="0" fontId="146" fillId="78" borderId="0" xfId="0" applyFont="1" applyFill="1"/>
    <xf numFmtId="0" fontId="140" fillId="14" borderId="1" xfId="4" applyFont="1" applyFill="1" applyAlignment="1">
      <alignment horizontal="left"/>
    </xf>
    <xf numFmtId="0" fontId="174" fillId="80" borderId="0" xfId="0" applyFont="1" applyFill="1"/>
    <xf numFmtId="43" fontId="16" fillId="0" borderId="1" xfId="5" applyFont="1" applyBorder="1"/>
    <xf numFmtId="1" fontId="16" fillId="0" borderId="1" xfId="16" applyNumberFormat="1" applyFont="1"/>
    <xf numFmtId="169" fontId="16" fillId="0" borderId="1" xfId="5" applyNumberFormat="1" applyFont="1" applyBorder="1"/>
    <xf numFmtId="0" fontId="172" fillId="80" borderId="0" xfId="0" applyFont="1" applyFill="1"/>
    <xf numFmtId="0" fontId="176" fillId="80" borderId="0" xfId="0" applyFont="1" applyFill="1"/>
    <xf numFmtId="9" fontId="16" fillId="0" borderId="1" xfId="3" applyFont="1" applyBorder="1"/>
    <xf numFmtId="164" fontId="16" fillId="0" borderId="1" xfId="16" applyNumberFormat="1" applyFont="1"/>
    <xf numFmtId="2" fontId="175" fillId="80" borderId="0" xfId="0" applyNumberFormat="1" applyFont="1" applyFill="1"/>
    <xf numFmtId="9" fontId="175" fillId="80" borderId="0" xfId="3" applyFont="1" applyFill="1" applyAlignment="1">
      <alignment horizontal="left"/>
    </xf>
    <xf numFmtId="1" fontId="175" fillId="80" borderId="0" xfId="0" applyNumberFormat="1" applyFont="1" applyFill="1"/>
    <xf numFmtId="167" fontId="0" fillId="0" borderId="0" xfId="0" applyNumberFormat="1"/>
    <xf numFmtId="0" fontId="0" fillId="0" borderId="0" xfId="0" applyAlignment="1">
      <alignment horizontal="left" indent="1"/>
    </xf>
    <xf numFmtId="0" fontId="81" fillId="91" borderId="1" xfId="0" applyFont="1" applyFill="1" applyBorder="1"/>
    <xf numFmtId="0" fontId="81" fillId="91" borderId="0" xfId="0" applyFont="1" applyFill="1"/>
    <xf numFmtId="0" fontId="131" fillId="91" borderId="1" xfId="0" applyFont="1" applyFill="1" applyBorder="1" applyAlignment="1">
      <alignment horizontal="left" vertical="center"/>
    </xf>
    <xf numFmtId="0" fontId="131" fillId="91" borderId="1" xfId="0" applyFont="1" applyFill="1" applyBorder="1"/>
    <xf numFmtId="0" fontId="130" fillId="0" borderId="81" xfId="14" applyFont="1" applyBorder="1" applyAlignment="1">
      <alignment wrapText="1"/>
    </xf>
    <xf numFmtId="1" fontId="130" fillId="0" borderId="1" xfId="14" applyNumberFormat="1" applyFont="1" applyAlignment="1">
      <alignment wrapText="1"/>
    </xf>
    <xf numFmtId="169" fontId="130" fillId="0" borderId="1" xfId="5" applyNumberFormat="1" applyFont="1" applyBorder="1" applyAlignment="1">
      <alignment wrapText="1"/>
    </xf>
    <xf numFmtId="168" fontId="130" fillId="0" borderId="1" xfId="5" applyNumberFormat="1" applyFont="1" applyBorder="1" applyAlignment="1">
      <alignment wrapText="1"/>
    </xf>
    <xf numFmtId="2" fontId="130" fillId="0" borderId="1" xfId="14" applyNumberFormat="1" applyFont="1" applyAlignment="1">
      <alignment wrapText="1"/>
    </xf>
    <xf numFmtId="0" fontId="179" fillId="89" borderId="1" xfId="0" applyFont="1" applyFill="1" applyBorder="1"/>
    <xf numFmtId="0" fontId="180" fillId="89" borderId="1" xfId="0" applyFont="1" applyFill="1" applyBorder="1"/>
    <xf numFmtId="0" fontId="181" fillId="89" borderId="1" xfId="0" applyFont="1" applyFill="1" applyBorder="1"/>
    <xf numFmtId="0" fontId="182" fillId="89" borderId="1" xfId="0" applyFont="1" applyFill="1" applyBorder="1"/>
    <xf numFmtId="2" fontId="183" fillId="89" borderId="1" xfId="0" applyNumberFormat="1" applyFont="1" applyFill="1" applyBorder="1"/>
    <xf numFmtId="1" fontId="183" fillId="89" borderId="1" xfId="0" applyNumberFormat="1" applyFont="1" applyFill="1" applyBorder="1"/>
    <xf numFmtId="9" fontId="183" fillId="89" borderId="1" xfId="3" applyFont="1" applyFill="1" applyBorder="1" applyAlignment="1">
      <alignment horizontal="left"/>
    </xf>
    <xf numFmtId="0" fontId="81" fillId="78" borderId="90" xfId="0" applyFont="1" applyFill="1" applyBorder="1"/>
    <xf numFmtId="0" fontId="81" fillId="78" borderId="91" xfId="0" applyFont="1" applyFill="1" applyBorder="1"/>
    <xf numFmtId="0" fontId="81" fillId="78" borderId="89" xfId="0" applyFont="1" applyFill="1" applyBorder="1" applyAlignment="1">
      <alignment vertical="center"/>
    </xf>
    <xf numFmtId="0" fontId="170" fillId="89" borderId="1" xfId="0" applyFont="1" applyFill="1" applyBorder="1"/>
    <xf numFmtId="0" fontId="81" fillId="89" borderId="89" xfId="0" applyFont="1" applyFill="1" applyBorder="1" applyAlignment="1">
      <alignment vertical="center"/>
    </xf>
    <xf numFmtId="168" fontId="14" fillId="0" borderId="1" xfId="5" applyNumberFormat="1" applyFont="1" applyFill="1" applyBorder="1"/>
    <xf numFmtId="43" fontId="14" fillId="0" borderId="1" xfId="5" applyFont="1" applyFill="1" applyBorder="1"/>
    <xf numFmtId="0" fontId="7" fillId="0" borderId="1" xfId="16" applyFont="1"/>
    <xf numFmtId="0" fontId="6" fillId="0" borderId="1" xfId="14" applyFont="1"/>
    <xf numFmtId="173" fontId="14" fillId="0" borderId="1" xfId="5" applyNumberFormat="1" applyFont="1" applyBorder="1"/>
    <xf numFmtId="0" fontId="187" fillId="92" borderId="92" xfId="18"/>
    <xf numFmtId="167" fontId="187" fillId="92" borderId="92" xfId="18" applyNumberFormat="1"/>
    <xf numFmtId="0" fontId="7" fillId="0" borderId="0" xfId="0" applyFont="1"/>
    <xf numFmtId="0" fontId="7" fillId="0" borderId="0" xfId="0" applyFont="1" applyAlignment="1">
      <alignment horizontal="left"/>
    </xf>
    <xf numFmtId="0" fontId="21" fillId="4" borderId="28" xfId="0" applyFont="1" applyFill="1" applyBorder="1" applyAlignment="1" applyProtection="1">
      <alignment horizontal="right" wrapText="1"/>
      <protection locked="0"/>
    </xf>
    <xf numFmtId="14" fontId="21" fillId="4" borderId="27" xfId="0" applyNumberFormat="1" applyFont="1" applyFill="1" applyBorder="1" applyAlignment="1" applyProtection="1">
      <alignment horizontal="right" wrapText="1"/>
      <protection locked="0"/>
    </xf>
    <xf numFmtId="167" fontId="21" fillId="4" borderId="94" xfId="5" applyNumberFormat="1" applyFont="1" applyFill="1" applyBorder="1" applyAlignment="1" applyProtection="1">
      <alignment horizontal="right" wrapText="1"/>
      <protection locked="0"/>
    </xf>
    <xf numFmtId="0" fontId="21" fillId="0" borderId="95" xfId="0" applyFont="1" applyBorder="1" applyAlignment="1">
      <alignment horizontal="left"/>
    </xf>
    <xf numFmtId="166" fontId="21" fillId="0" borderId="96" xfId="3" applyNumberFormat="1" applyFont="1" applyFill="1" applyBorder="1" applyAlignment="1" applyProtection="1">
      <alignment horizontal="right" wrapText="1"/>
      <protection locked="0"/>
    </xf>
    <xf numFmtId="0" fontId="21" fillId="0" borderId="96" xfId="0" applyFont="1" applyBorder="1" applyAlignment="1">
      <alignment horizontal="left"/>
    </xf>
    <xf numFmtId="1" fontId="21" fillId="0" borderId="97" xfId="0" applyNumberFormat="1" applyFont="1" applyBorder="1" applyAlignment="1" applyProtection="1">
      <alignment horizontal="left"/>
      <protection locked="0"/>
    </xf>
    <xf numFmtId="1" fontId="21" fillId="0" borderId="96" xfId="0" applyNumberFormat="1" applyFont="1" applyBorder="1" applyAlignment="1" applyProtection="1">
      <alignment horizontal="left"/>
      <protection locked="0"/>
    </xf>
    <xf numFmtId="1" fontId="21" fillId="0" borderId="96" xfId="0" applyNumberFormat="1" applyFont="1" applyBorder="1" applyAlignment="1" applyProtection="1">
      <alignment horizontal="left" wrapText="1"/>
      <protection locked="0"/>
    </xf>
    <xf numFmtId="1" fontId="21" fillId="0" borderId="95" xfId="0" applyNumberFormat="1" applyFont="1" applyBorder="1" applyAlignment="1" applyProtection="1">
      <alignment horizontal="left" wrapText="1"/>
      <protection locked="0"/>
    </xf>
    <xf numFmtId="166" fontId="21" fillId="0" borderId="95" xfId="3" applyNumberFormat="1" applyFont="1" applyFill="1" applyBorder="1" applyAlignment="1" applyProtection="1">
      <alignment horizontal="right" wrapText="1"/>
      <protection locked="0"/>
    </xf>
    <xf numFmtId="0" fontId="16" fillId="0" borderId="95" xfId="0" applyFont="1" applyBorder="1"/>
    <xf numFmtId="1" fontId="21" fillId="0" borderId="95" xfId="0" applyNumberFormat="1" applyFont="1" applyBorder="1" applyAlignment="1" applyProtection="1">
      <alignment horizontal="left"/>
      <protection locked="0"/>
    </xf>
    <xf numFmtId="0" fontId="19" fillId="0" borderId="98" xfId="0" applyFont="1" applyBorder="1"/>
    <xf numFmtId="1" fontId="19" fillId="0" borderId="99" xfId="0" applyNumberFormat="1" applyFont="1" applyBorder="1" applyAlignment="1" applyProtection="1">
      <alignment horizontal="right" wrapText="1"/>
      <protection locked="0"/>
    </xf>
    <xf numFmtId="0" fontId="21" fillId="0" borderId="100" xfId="0" applyFont="1" applyBorder="1" applyAlignment="1" applyProtection="1">
      <alignment horizontal="left"/>
      <protection locked="0"/>
    </xf>
    <xf numFmtId="1" fontId="21" fillId="0" borderId="100" xfId="0" applyNumberFormat="1" applyFont="1" applyBorder="1" applyAlignment="1" applyProtection="1">
      <alignment horizontal="left" wrapText="1"/>
      <protection locked="0"/>
    </xf>
    <xf numFmtId="1" fontId="21" fillId="0" borderId="98" xfId="0" applyNumberFormat="1" applyFont="1" applyBorder="1" applyAlignment="1" applyProtection="1">
      <alignment horizontal="left" wrapText="1"/>
      <protection locked="0"/>
    </xf>
    <xf numFmtId="0" fontId="21" fillId="0" borderId="98" xfId="0" applyFont="1" applyBorder="1" applyAlignment="1" applyProtection="1">
      <alignment horizontal="left"/>
      <protection locked="0"/>
    </xf>
    <xf numFmtId="1" fontId="19" fillId="0" borderId="101" xfId="0" applyNumberFormat="1" applyFont="1" applyBorder="1" applyAlignment="1" applyProtection="1">
      <alignment horizontal="right" wrapText="1"/>
      <protection locked="0"/>
    </xf>
    <xf numFmtId="0" fontId="19" fillId="0" borderId="100" xfId="0" applyFont="1" applyBorder="1"/>
    <xf numFmtId="1" fontId="21" fillId="23" borderId="23" xfId="0" applyNumberFormat="1" applyFont="1" applyFill="1" applyBorder="1" applyAlignment="1" applyProtection="1">
      <alignment horizontal="left" wrapText="1"/>
      <protection locked="0"/>
    </xf>
    <xf numFmtId="1" fontId="21" fillId="15" borderId="98" xfId="0" applyNumberFormat="1" applyFont="1" applyFill="1" applyBorder="1" applyAlignment="1" applyProtection="1">
      <alignment horizontal="left"/>
      <protection locked="0"/>
    </xf>
    <xf numFmtId="0" fontId="19" fillId="22" borderId="98" xfId="0" applyFont="1" applyFill="1" applyBorder="1"/>
    <xf numFmtId="1" fontId="21" fillId="15" borderId="100" xfId="0" applyNumberFormat="1" applyFont="1" applyFill="1" applyBorder="1" applyAlignment="1" applyProtection="1">
      <alignment horizontal="left"/>
      <protection locked="0"/>
    </xf>
    <xf numFmtId="1" fontId="21" fillId="23" borderId="1" xfId="0" applyNumberFormat="1" applyFont="1" applyFill="1" applyBorder="1" applyAlignment="1" applyProtection="1">
      <alignment horizontal="left" wrapText="1"/>
      <protection locked="0"/>
    </xf>
    <xf numFmtId="0" fontId="21" fillId="0" borderId="95" xfId="0" applyFont="1" applyBorder="1" applyAlignment="1" applyProtection="1">
      <alignment horizontal="left"/>
      <protection locked="0"/>
    </xf>
    <xf numFmtId="0" fontId="19" fillId="0" borderId="95" xfId="0" applyFont="1" applyBorder="1"/>
    <xf numFmtId="1" fontId="19" fillId="0" borderId="95" xfId="0" applyNumberFormat="1" applyFont="1" applyBorder="1" applyAlignment="1" applyProtection="1">
      <alignment horizontal="right" wrapText="1"/>
      <protection locked="0"/>
    </xf>
    <xf numFmtId="1" fontId="21" fillId="15" borderId="95" xfId="0" applyNumberFormat="1" applyFont="1" applyFill="1" applyBorder="1" applyAlignment="1" applyProtection="1">
      <alignment horizontal="left"/>
      <protection locked="0"/>
    </xf>
    <xf numFmtId="0" fontId="19" fillId="22" borderId="95" xfId="0" applyFont="1" applyFill="1" applyBorder="1"/>
    <xf numFmtId="1" fontId="21" fillId="15" borderId="96" xfId="0" applyNumberFormat="1" applyFont="1" applyFill="1" applyBorder="1" applyAlignment="1" applyProtection="1">
      <alignment horizontal="left"/>
      <protection locked="0"/>
    </xf>
    <xf numFmtId="0" fontId="19" fillId="0" borderId="97" xfId="0" applyFont="1" applyBorder="1"/>
    <xf numFmtId="0" fontId="19" fillId="0" borderId="102" xfId="0" applyFont="1" applyBorder="1"/>
    <xf numFmtId="0" fontId="19" fillId="0" borderId="96" xfId="0" applyFont="1" applyBorder="1"/>
    <xf numFmtId="0" fontId="21" fillId="0" borderId="96" xfId="0" applyFont="1" applyBorder="1" applyAlignment="1" applyProtection="1">
      <alignment horizontal="left"/>
      <protection locked="0"/>
    </xf>
    <xf numFmtId="1" fontId="21" fillId="0" borderId="103" xfId="0" applyNumberFormat="1" applyFont="1" applyBorder="1" applyAlignment="1" applyProtection="1">
      <alignment horizontal="left"/>
      <protection locked="0"/>
    </xf>
    <xf numFmtId="1" fontId="21" fillId="0" borderId="103" xfId="0" applyNumberFormat="1" applyFont="1" applyBorder="1" applyAlignment="1" applyProtection="1">
      <alignment horizontal="left" wrapText="1"/>
      <protection locked="0"/>
    </xf>
    <xf numFmtId="0" fontId="19" fillId="0" borderId="101" xfId="0" applyFont="1" applyBorder="1"/>
    <xf numFmtId="1" fontId="19" fillId="0" borderId="97" xfId="0" applyNumberFormat="1" applyFont="1" applyBorder="1" applyAlignment="1" applyProtection="1">
      <alignment horizontal="right" wrapText="1"/>
      <protection locked="0"/>
    </xf>
    <xf numFmtId="0" fontId="19" fillId="0" borderId="103" xfId="0" applyFont="1" applyBorder="1"/>
    <xf numFmtId="0" fontId="21" fillId="0" borderId="97" xfId="0" applyFont="1" applyBorder="1" applyAlignment="1">
      <alignment horizontal="left" wrapText="1"/>
    </xf>
    <xf numFmtId="0" fontId="21" fillId="0" borderId="103" xfId="0" applyFont="1" applyBorder="1" applyAlignment="1" applyProtection="1">
      <alignment horizontal="right" wrapText="1"/>
      <protection locked="0"/>
    </xf>
    <xf numFmtId="0" fontId="21" fillId="0" borderId="103" xfId="0" applyFont="1" applyBorder="1" applyAlignment="1">
      <alignment horizontal="left" wrapText="1"/>
    </xf>
    <xf numFmtId="1" fontId="21" fillId="0" borderId="97" xfId="0" applyNumberFormat="1" applyFont="1" applyBorder="1" applyAlignment="1" applyProtection="1">
      <alignment horizontal="left" wrapText="1"/>
      <protection locked="0"/>
    </xf>
    <xf numFmtId="0" fontId="21" fillId="0" borderId="97" xfId="0" applyFont="1" applyBorder="1" applyAlignment="1" applyProtection="1">
      <alignment horizontal="right" wrapText="1"/>
      <protection locked="0"/>
    </xf>
    <xf numFmtId="0" fontId="100" fillId="0" borderId="97" xfId="0" applyFont="1" applyBorder="1" applyAlignment="1">
      <alignment horizontal="left" wrapText="1"/>
    </xf>
    <xf numFmtId="167" fontId="21" fillId="0" borderId="97" xfId="5" applyNumberFormat="1" applyFont="1" applyFill="1" applyBorder="1" applyAlignment="1" applyProtection="1">
      <alignment horizontal="right" wrapText="1"/>
      <protection locked="0"/>
    </xf>
    <xf numFmtId="0" fontId="100" fillId="0" borderId="102" xfId="0" applyFont="1" applyBorder="1" applyAlignment="1">
      <alignment horizontal="left" wrapText="1"/>
    </xf>
    <xf numFmtId="0" fontId="21" fillId="0" borderId="97" xfId="0" applyFont="1" applyBorder="1" applyAlignment="1" applyProtection="1">
      <alignment horizontal="left" wrapText="1"/>
      <protection locked="0"/>
    </xf>
    <xf numFmtId="0" fontId="21" fillId="0" borderId="97" xfId="0" applyFont="1" applyBorder="1" applyAlignment="1" applyProtection="1">
      <alignment horizontal="left"/>
      <protection locked="0"/>
    </xf>
    <xf numFmtId="0" fontId="21" fillId="0" borderId="96" xfId="0" applyFont="1" applyBorder="1" applyAlignment="1" applyProtection="1">
      <alignment horizontal="right"/>
      <protection locked="0"/>
    </xf>
    <xf numFmtId="0" fontId="5" fillId="0" borderId="1" xfId="6" applyFont="1" applyAlignment="1">
      <alignment horizontal="left" vertical="center" wrapText="1"/>
    </xf>
    <xf numFmtId="0" fontId="5" fillId="0" borderId="1" xfId="6" applyFont="1" applyAlignment="1">
      <alignment horizontal="left" vertical="center"/>
    </xf>
    <xf numFmtId="0" fontId="4" fillId="0" borderId="1" xfId="6" applyFont="1" applyAlignment="1">
      <alignment horizontal="left" vertical="center"/>
    </xf>
    <xf numFmtId="0" fontId="4" fillId="0" borderId="1" xfId="16" quotePrefix="1" applyFont="1" applyAlignment="1">
      <alignment wrapText="1"/>
    </xf>
    <xf numFmtId="0" fontId="191" fillId="93" borderId="93" xfId="0" applyFont="1" applyFill="1" applyBorder="1" applyAlignment="1">
      <alignment horizontal="left" wrapText="1"/>
    </xf>
    <xf numFmtId="0" fontId="24" fillId="93" borderId="93" xfId="0" applyFont="1" applyFill="1" applyBorder="1"/>
    <xf numFmtId="0" fontId="3" fillId="0" borderId="1" xfId="4" applyFont="1" applyAlignment="1" applyProtection="1">
      <alignment horizontal="left" vertical="center" wrapText="1"/>
      <protection locked="0"/>
    </xf>
    <xf numFmtId="0" fontId="191" fillId="93" borderId="104" xfId="0" applyFont="1" applyFill="1" applyBorder="1" applyAlignment="1">
      <alignment horizontal="left" wrapText="1"/>
    </xf>
    <xf numFmtId="0" fontId="18" fillId="2" borderId="1" xfId="0" applyFont="1" applyFill="1" applyBorder="1" applyAlignment="1">
      <alignment vertical="top"/>
    </xf>
    <xf numFmtId="0" fontId="3" fillId="0" borderId="0" xfId="0" applyFont="1"/>
    <xf numFmtId="0" fontId="157" fillId="31" borderId="1" xfId="0" applyFont="1" applyFill="1" applyBorder="1" applyAlignment="1">
      <alignment horizontal="left" vertical="center"/>
    </xf>
    <xf numFmtId="0" fontId="6" fillId="0" borderId="1" xfId="6" applyFont="1" applyAlignment="1">
      <alignment horizontal="left" vertical="center"/>
    </xf>
    <xf numFmtId="0" fontId="6" fillId="0" borderId="1" xfId="6" applyFont="1" applyAlignment="1">
      <alignment horizontal="left" vertical="center" wrapText="1"/>
    </xf>
    <xf numFmtId="0" fontId="2" fillId="0" borderId="1" xfId="6" applyFont="1" applyAlignment="1">
      <alignment horizontal="left" vertical="center"/>
    </xf>
    <xf numFmtId="0" fontId="2" fillId="0" borderId="1" xfId="6" applyFont="1" applyAlignment="1">
      <alignment horizontal="left" vertical="center" wrapText="1"/>
    </xf>
    <xf numFmtId="167" fontId="2" fillId="0" borderId="1" xfId="12" applyNumberFormat="1" applyFont="1" applyFill="1" applyBorder="1" applyAlignment="1">
      <alignment horizontal="right" vertical="center" wrapText="1"/>
    </xf>
    <xf numFmtId="0" fontId="34" fillId="2" borderId="1" xfId="4" applyFont="1" applyFill="1" applyAlignment="1" applyProtection="1">
      <alignment vertical="center"/>
      <protection locked="0"/>
    </xf>
    <xf numFmtId="0" fontId="165" fillId="67" borderId="0" xfId="0" applyFont="1" applyFill="1" applyAlignment="1">
      <alignment horizontal="center" vertical="center" wrapText="1"/>
    </xf>
    <xf numFmtId="0" fontId="165" fillId="67" borderId="0" xfId="0" applyFont="1" applyFill="1" applyAlignment="1">
      <alignment horizontal="center" vertical="center"/>
    </xf>
    <xf numFmtId="0" fontId="140" fillId="67" borderId="0" xfId="0" applyFont="1" applyFill="1" applyAlignment="1">
      <alignment horizontal="center" vertical="center" wrapText="1"/>
    </xf>
    <xf numFmtId="0" fontId="140" fillId="67" borderId="0" xfId="0" applyFont="1" applyFill="1" applyAlignment="1">
      <alignment horizontal="center" vertical="center"/>
    </xf>
    <xf numFmtId="0" fontId="185" fillId="22" borderId="0" xfId="0" applyFont="1" applyFill="1" applyAlignment="1">
      <alignment horizontal="left" vertical="top" wrapText="1"/>
    </xf>
    <xf numFmtId="0" fontId="115" fillId="44" borderId="1" xfId="4" applyFont="1" applyFill="1" applyAlignment="1">
      <alignment horizontal="left" vertical="top" wrapText="1"/>
    </xf>
    <xf numFmtId="0" fontId="16" fillId="45" borderId="1" xfId="4" applyFont="1" applyFill="1"/>
    <xf numFmtId="0" fontId="16" fillId="65" borderId="1" xfId="4" applyFont="1" applyFill="1" applyAlignment="1">
      <alignment horizontal="left" vertical="center" wrapText="1"/>
    </xf>
    <xf numFmtId="0" fontId="126" fillId="42" borderId="1" xfId="0" applyFont="1" applyFill="1" applyBorder="1" applyAlignment="1">
      <alignment vertical="center" wrapText="1"/>
    </xf>
    <xf numFmtId="0" fontId="79" fillId="42" borderId="1" xfId="0" applyFont="1" applyFill="1" applyBorder="1" applyAlignment="1">
      <alignment vertical="center" wrapText="1"/>
    </xf>
    <xf numFmtId="0" fontId="79" fillId="71" borderId="0" xfId="0" applyFont="1" applyFill="1" applyAlignment="1">
      <alignment horizontal="left" vertical="center" wrapText="1"/>
    </xf>
    <xf numFmtId="0" fontId="19" fillId="28" borderId="15" xfId="0" applyFont="1" applyFill="1" applyBorder="1" applyAlignment="1">
      <alignment horizontal="left" vertical="top" wrapText="1"/>
    </xf>
    <xf numFmtId="0" fontId="19" fillId="25" borderId="15" xfId="0" applyFont="1" applyFill="1" applyBorder="1" applyAlignment="1">
      <alignment horizontal="left" vertical="top" wrapText="1"/>
    </xf>
    <xf numFmtId="0" fontId="24" fillId="28" borderId="15" xfId="0" applyFont="1" applyFill="1" applyBorder="1" applyAlignment="1">
      <alignment vertical="top" wrapText="1"/>
    </xf>
    <xf numFmtId="0" fontId="196" fillId="78" borderId="0" xfId="0" applyFont="1" applyFill="1" applyAlignment="1">
      <alignment horizontal="center" wrapText="1"/>
    </xf>
    <xf numFmtId="0" fontId="197" fillId="78" borderId="0" xfId="0" applyFont="1" applyFill="1" applyAlignment="1">
      <alignment horizontal="center" wrapText="1"/>
    </xf>
    <xf numFmtId="0" fontId="167" fillId="78" borderId="0" xfId="0" applyFont="1" applyFill="1" applyAlignment="1">
      <alignment horizontal="left"/>
    </xf>
    <xf numFmtId="0" fontId="168" fillId="78" borderId="0" xfId="0" applyFont="1" applyFill="1" applyAlignment="1">
      <alignment horizontal="left"/>
    </xf>
    <xf numFmtId="49" fontId="165" fillId="78" borderId="0" xfId="0" applyNumberFormat="1" applyFont="1" applyFill="1" applyAlignment="1">
      <alignment horizontal="left"/>
    </xf>
    <xf numFmtId="0" fontId="165" fillId="78" borderId="0" xfId="0" applyFont="1" applyFill="1" applyAlignment="1">
      <alignment horizontal="left"/>
    </xf>
    <xf numFmtId="176" fontId="165" fillId="78" borderId="0" xfId="0" applyNumberFormat="1" applyFont="1" applyFill="1" applyAlignment="1">
      <alignment horizontal="left"/>
    </xf>
    <xf numFmtId="0" fontId="173" fillId="80" borderId="1" xfId="0" applyFont="1" applyFill="1" applyBorder="1" applyAlignment="1">
      <alignment horizontal="left" vertical="center"/>
    </xf>
    <xf numFmtId="0" fontId="173" fillId="80" borderId="82" xfId="0" applyFont="1" applyFill="1" applyBorder="1" applyAlignment="1">
      <alignment horizontal="left" vertical="center"/>
    </xf>
    <xf numFmtId="3" fontId="165" fillId="78" borderId="0" xfId="5" applyNumberFormat="1" applyFont="1" applyFill="1" applyAlignment="1">
      <alignment horizontal="left" readingOrder="1"/>
    </xf>
    <xf numFmtId="0" fontId="169" fillId="78" borderId="1" xfId="4" applyFont="1" applyFill="1" applyAlignment="1">
      <alignment horizontal="center" vertical="center" wrapText="1"/>
    </xf>
    <xf numFmtId="0" fontId="167" fillId="89" borderId="0" xfId="0" applyFont="1" applyFill="1" applyAlignment="1">
      <alignment horizontal="left"/>
    </xf>
    <xf numFmtId="0" fontId="177" fillId="89" borderId="0" xfId="0" applyFont="1" applyFill="1" applyAlignment="1">
      <alignment horizontal="left"/>
    </xf>
    <xf numFmtId="0" fontId="168" fillId="89" borderId="0" xfId="0" applyFont="1" applyFill="1" applyAlignment="1">
      <alignment horizontal="left"/>
    </xf>
    <xf numFmtId="0" fontId="165" fillId="89" borderId="0" xfId="0" applyFont="1" applyFill="1" applyAlignment="1">
      <alignment horizontal="left"/>
    </xf>
    <xf numFmtId="0" fontId="188" fillId="89" borderId="0" xfId="0" applyFont="1" applyFill="1" applyAlignment="1">
      <alignment horizontal="left"/>
    </xf>
    <xf numFmtId="49" fontId="165" fillId="89" borderId="0" xfId="0" applyNumberFormat="1" applyFont="1" applyFill="1" applyAlignment="1">
      <alignment horizontal="left"/>
    </xf>
    <xf numFmtId="3" fontId="165" fillId="89" borderId="0" xfId="5" applyNumberFormat="1" applyFont="1" applyFill="1" applyAlignment="1">
      <alignment horizontal="left" readingOrder="1"/>
    </xf>
    <xf numFmtId="0" fontId="178" fillId="89" borderId="1" xfId="0" applyFont="1" applyFill="1" applyBorder="1" applyAlignment="1">
      <alignment horizontal="left" vertical="center"/>
    </xf>
    <xf numFmtId="0" fontId="169" fillId="89" borderId="1" xfId="4" applyFont="1" applyFill="1" applyAlignment="1">
      <alignment horizontal="center" vertical="center" wrapText="1"/>
    </xf>
    <xf numFmtId="176" fontId="165" fillId="89" borderId="0" xfId="0" applyNumberFormat="1" applyFont="1" applyFill="1" applyAlignment="1">
      <alignment horizontal="left"/>
    </xf>
    <xf numFmtId="0" fontId="34" fillId="2" borderId="1" xfId="4" applyFont="1" applyFill="1" applyAlignment="1" applyProtection="1">
      <alignment horizontal="center" vertical="center"/>
      <protection locked="0"/>
    </xf>
    <xf numFmtId="0" fontId="34" fillId="2" borderId="1" xfId="4" applyFont="1" applyFill="1" applyAlignment="1" applyProtection="1">
      <alignment horizontal="center" vertical="center" wrapText="1"/>
      <protection locked="0"/>
    </xf>
    <xf numFmtId="0" fontId="198" fillId="22" borderId="0" xfId="0" applyFont="1" applyFill="1" applyAlignment="1">
      <alignment horizontal="left" vertical="top" wrapText="1"/>
    </xf>
  </cellXfs>
  <cellStyles count="19">
    <cellStyle name="Check Cell" xfId="15" builtinId="23"/>
    <cellStyle name="Comma" xfId="5" builtinId="3"/>
    <cellStyle name="Comma 2" xfId="2" xr:uid="{7FB5215A-8793-47D7-88DB-6E71E756C547}"/>
    <cellStyle name="Comma 2 2" xfId="10" xr:uid="{4F41A5EC-7F66-4971-8FDA-04AEB03282A5}"/>
    <cellStyle name="Comma 3" xfId="12" xr:uid="{8E4614AA-5206-4908-91FA-B595A35ECA34}"/>
    <cellStyle name="Heading - 1" xfId="8" xr:uid="{9B02A53C-2089-4BD8-AC9C-FB6E43637CE8}"/>
    <cellStyle name="Hyperlink" xfId="17" builtinId="8"/>
    <cellStyle name="Hyperlink 2" xfId="11" xr:uid="{88E206FD-4739-472C-8377-D51987848D25}"/>
    <cellStyle name="Input" xfId="18" builtinId="20"/>
    <cellStyle name="Normal" xfId="0" builtinId="0"/>
    <cellStyle name="Normal 2" xfId="1" xr:uid="{630BDE19-D5A2-430E-A451-F6F76EE4AF52}"/>
    <cellStyle name="Normal 2 2" xfId="6" xr:uid="{9DA69C94-9A05-4A5A-ABBB-7D010214C9FD}"/>
    <cellStyle name="Normal 3" xfId="4" xr:uid="{493D48E8-4451-4DA9-B6D0-29828ACF6822}"/>
    <cellStyle name="Normal 4" xfId="14" xr:uid="{ACDBAFA1-95C6-4E17-90E5-1CB20BD726E8}"/>
    <cellStyle name="Normal 5" xfId="16" xr:uid="{7078C7D7-4C9B-4611-894D-1C7E34F80BAF}"/>
    <cellStyle name="Per cent" xfId="3" builtinId="5"/>
    <cellStyle name="Percent 2" xfId="13" xr:uid="{2CBC4521-EE2E-45B1-B920-E5EB68B46FBF}"/>
    <cellStyle name="Sheet title" xfId="7" xr:uid="{5327D440-8869-4900-A077-19798C136B3C}"/>
    <cellStyle name="Sub heading - 1" xfId="9" xr:uid="{B9EE2E6E-C0FC-4B7E-A600-E980E893404C}"/>
  </cellStyles>
  <dxfs count="50">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bgColor theme="5" tint="0.79998168889431442"/>
        </patternFill>
      </fill>
    </dxf>
    <dxf>
      <fill>
        <patternFill patternType="solid">
          <bgColor theme="9" tint="0.59996337778862885"/>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fill>
        <patternFill>
          <bgColor theme="5" tint="0.79998168889431442"/>
        </patternFill>
      </fill>
    </dxf>
    <dxf>
      <fill>
        <patternFill patternType="solid">
          <bgColor theme="9" tint="0.59996337778862885"/>
        </patternFill>
      </fill>
    </dxf>
    <dxf>
      <numFmt numFmtId="1" formatCode="0"/>
    </dxf>
    <dxf>
      <numFmt numFmtId="167" formatCode="_ * #,##0_ ;_ * \-#,##0_ ;_ * &quot;-&quot;??_ ;_ @_ "/>
    </dxf>
    <dxf>
      <numFmt numFmtId="175" formatCode="_-* #,##0_-;\-* #,##0_-;_-* &quot;-&quot;??_-;_-@_-"/>
    </dxf>
    <dxf>
      <numFmt numFmtId="175" formatCode="_-* #,##0_-;\-* #,##0_-;_-* &quot;-&quot;??_-;_-@_-"/>
    </dxf>
    <dxf>
      <numFmt numFmtId="175" formatCode="_-* #,##0_-;\-* #,##0_-;_-* &quot;-&quot;??_-;_-@_-"/>
    </dxf>
    <dxf>
      <numFmt numFmtId="175" formatCode="_-* #,##0_-;\-* #,##0_-;_-* &quot;-&quot;??_-;_-@_-"/>
    </dxf>
    <dxf>
      <numFmt numFmtId="175" formatCode="_-* #,##0_-;\-* #,##0_-;_-* &quot;-&quot;??_-;_-@_-"/>
    </dxf>
    <dxf>
      <font>
        <b/>
        <i val="0"/>
        <strike val="0"/>
        <condense val="0"/>
        <extend val="0"/>
        <outline val="0"/>
        <shadow val="0"/>
        <u val="none"/>
        <vertAlign val="baseline"/>
        <sz val="8"/>
        <color theme="0"/>
        <name val="Calibri"/>
        <family val="2"/>
        <scheme val="minor"/>
      </font>
    </dxf>
    <dxf>
      <numFmt numFmtId="2" formatCode="0.00"/>
    </dxf>
    <dxf>
      <numFmt numFmtId="2" formatCode="0.00"/>
    </dxf>
    <dxf>
      <font>
        <b val="0"/>
        <i val="0"/>
        <strike val="0"/>
        <condense val="0"/>
        <extend val="0"/>
        <outline val="0"/>
        <shadow val="0"/>
        <u val="none"/>
        <vertAlign val="baseline"/>
        <sz val="11"/>
        <color theme="1"/>
        <name val="Calibri"/>
        <family val="2"/>
        <scheme val="minor"/>
      </font>
      <numFmt numFmtId="168" formatCode="_ * #,##0.0_ ;_ * \-#,##0.0_ ;_ * &quot;-&quot;??_ ;_ @_ "/>
    </dxf>
    <dxf>
      <font>
        <b val="0"/>
        <i val="0"/>
        <strike val="0"/>
        <condense val="0"/>
        <extend val="0"/>
        <outline val="0"/>
        <shadow val="0"/>
        <u val="none"/>
        <vertAlign val="baseline"/>
        <sz val="11"/>
        <color theme="1"/>
        <name val="Calibri"/>
        <family val="2"/>
        <scheme val="minor"/>
      </font>
      <numFmt numFmtId="168" formatCode="_ * #,##0.0_ ;_ * \-#,##0.0_ ;_ * &quot;-&quot;??_ ;_ @_ "/>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7" formatCode="_ * #,##0_ ;_ * \-#,##0_ ;_ * &quot;-&quot;??_ ;_ @_ "/>
      <fill>
        <patternFill patternType="none">
          <fgColor indexed="64"/>
          <bgColor indexed="65"/>
        </patternFill>
      </fill>
    </dxf>
    <dxf>
      <numFmt numFmtId="1" formatCode="0"/>
    </dxf>
    <dxf>
      <font>
        <b val="0"/>
        <i val="0"/>
        <strike val="0"/>
        <condense val="0"/>
        <extend val="0"/>
        <outline val="0"/>
        <shadow val="0"/>
        <u val="none"/>
        <vertAlign val="baseline"/>
        <sz val="12"/>
        <color auto="1"/>
        <name val="Calibri"/>
        <family val="2"/>
        <scheme val="none"/>
      </font>
      <fill>
        <patternFill patternType="solid">
          <fgColor rgb="FFA2C4C9"/>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rgb="FFA2C4C9"/>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solid">
          <fgColor rgb="FFA2C4C9"/>
          <bgColor theme="4" tint="0.79998168889431442"/>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colors>
    <mruColors>
      <color rgb="FFCA939A"/>
      <color rgb="FFB4656F"/>
      <color rgb="FFFFD5D6"/>
      <color rgb="FFFFCCCD"/>
      <color rgb="FFA8D08D"/>
      <color rgb="FF658A9B"/>
      <color rgb="FFC6DFBB"/>
      <color rgb="FFE9A160"/>
      <color rgb="FFA3C4C9"/>
      <color rgb="FF4F6D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 Target="richData/rdrichvalue.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(2026).xlsx]Pivots!PivotTable1</c:name>
    <c:fmtId val="0"/>
  </c:pivotSource>
  <c:chart>
    <c:title>
      <c:tx>
        <c:rich>
          <a:bodyPr rot="0" spcFirstLastPara="1" vertOverflow="ellipsis" vert="horz" wrap="square" anchor="ctr" anchorCtr="1"/>
          <a:lstStyle/>
          <a:p>
            <a:pPr>
              <a:defRPr sz="2800" b="1" i="0" u="none" strike="noStrike" kern="1200" cap="all" spc="50" baseline="0">
                <a:solidFill>
                  <a:schemeClr val="tx1">
                    <a:lumMod val="65000"/>
                    <a:lumOff val="35000"/>
                  </a:schemeClr>
                </a:solidFill>
                <a:latin typeface="+mn-lt"/>
                <a:ea typeface="+mn-ea"/>
                <a:cs typeface="+mn-cs"/>
              </a:defRPr>
            </a:pPr>
            <a:r>
              <a:rPr lang="en-US" sz="2800"/>
              <a:t>Distribution</a:t>
            </a:r>
            <a:r>
              <a:rPr lang="en-US" sz="2800" baseline="0"/>
              <a:t> Gross co2-emissions (ton co2-eq)</a:t>
            </a:r>
            <a:endParaRPr lang="en-US" sz="2800"/>
          </a:p>
        </c:rich>
      </c:tx>
      <c:overlay val="0"/>
      <c:spPr>
        <a:noFill/>
        <a:ln>
          <a:noFill/>
        </a:ln>
        <a:effectLst/>
      </c:spPr>
      <c:txPr>
        <a:bodyPr rot="0" spcFirstLastPara="1" vertOverflow="ellipsis" vert="horz" wrap="square" anchor="ctr" anchorCtr="1"/>
        <a:lstStyle/>
        <a:p>
          <a:pPr>
            <a:defRPr sz="28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2"/>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4"/>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5"/>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6"/>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7"/>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8"/>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9"/>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1"/>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2"/>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3"/>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4"/>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5"/>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6"/>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7"/>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8"/>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19"/>
        <c:dLbl>
          <c:idx val="0"/>
          <c:showLegendKey val="0"/>
          <c:showVal val="1"/>
          <c:showCatName val="0"/>
          <c:showSerName val="0"/>
          <c:showPercent val="1"/>
          <c:showBubbleSize val="0"/>
          <c:separator>; </c:separator>
          <c:extLst>
            <c:ext xmlns:c15="http://schemas.microsoft.com/office/drawing/2012/chart" uri="{CE6537A1-D6FC-4f65-9D91-7224C49458BB}"/>
          </c:extLst>
        </c:dLbl>
      </c:pivotFmt>
      <c:pivotFmt>
        <c:idx val="20"/>
        <c:spPr>
          <a:solidFill>
            <a:srgbClr val="A8D08D"/>
          </a:solidFill>
          <a:ln>
            <a:solidFill>
              <a:srgbClr val="A8D08D"/>
            </a:solidFill>
          </a:ln>
          <a:effectLst/>
          <a:scene3d>
            <a:camera prst="orthographicFront"/>
            <a:lightRig rig="brightRoom" dir="t"/>
          </a:scene3d>
          <a:sp3d prstMaterial="flat">
            <a:bevelT w="50800" h="101600" prst="angle"/>
            <a:contourClr>
              <a:srgbClr val="000000"/>
            </a:contourClr>
          </a:sp3d>
        </c:spPr>
        <c:dLbl>
          <c:idx val="0"/>
          <c:layout>
            <c:manualLayout>
              <c:x val="0.10029764532744656"/>
              <c:y val="-9.5783436213991727E-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1"/>
        <c:spPr>
          <a:solidFill>
            <a:srgbClr val="E8A160"/>
          </a:solidFill>
          <a:ln>
            <a:solidFill>
              <a:srgbClr val="E8A160"/>
            </a:solidFill>
          </a:ln>
          <a:effectLst/>
          <a:scene3d>
            <a:camera prst="orthographicFront"/>
            <a:lightRig rig="brightRoom" dir="t"/>
          </a:scene3d>
          <a:sp3d prstMaterial="flat">
            <a:bevelT w="50800" h="101600" prst="angle"/>
            <a:contourClr>
              <a:srgbClr val="000000"/>
            </a:contourClr>
          </a:sp3d>
        </c:spPr>
        <c:dLbl>
          <c:idx val="0"/>
          <c:layout>
            <c:manualLayout>
              <c:x val="3.8300052438608075E-2"/>
              <c:y val="-0.1326232247284879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2"/>
        <c:spPr>
          <a:solidFill>
            <a:srgbClr val="DAE2F2"/>
          </a:solidFill>
          <a:ln>
            <a:solidFill>
              <a:srgbClr val="DAE2F2"/>
            </a:solidFill>
          </a:ln>
          <a:effectLst/>
          <a:scene3d>
            <a:camera prst="orthographicFront"/>
            <a:lightRig rig="brightRoom" dir="t"/>
          </a:scene3d>
          <a:sp3d prstMaterial="flat">
            <a:bevelT w="50800" h="101600" prst="angle"/>
            <a:contourClr>
              <a:srgbClr val="000000"/>
            </a:contourClr>
          </a:sp3d>
        </c:spPr>
        <c:dLbl>
          <c:idx val="0"/>
          <c:layout>
            <c:manualLayout>
              <c:x val="2.8161803263682384E-2"/>
              <c:y val="-0.14721177944862154"/>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3"/>
        <c:spPr>
          <a:solidFill>
            <a:srgbClr val="A3C4C9"/>
          </a:solidFill>
          <a:ln>
            <a:solidFill>
              <a:srgbClr val="A3C4C9"/>
            </a:solidFill>
          </a:ln>
          <a:effectLst/>
          <a:scene3d>
            <a:camera prst="orthographicFront"/>
            <a:lightRig rig="brightRoom" dir="t"/>
          </a:scene3d>
          <a:sp3d prstMaterial="flat">
            <a:bevelT w="50800" h="101600" prst="angle"/>
            <a:contourClr>
              <a:srgbClr val="000000"/>
            </a:contourClr>
          </a:sp3d>
        </c:spPr>
        <c:dLbl>
          <c:idx val="0"/>
          <c:layout>
            <c:manualLayout>
              <c:x val="-2.0658756438557805E-2"/>
              <c:y val="0.11834907407407408"/>
            </c:manualLayout>
          </c:layout>
          <c:spPr>
            <a:noFill/>
            <a:ln>
              <a:noFill/>
            </a:ln>
            <a:effectLst/>
          </c:spPr>
          <c:txPr>
            <a:bodyPr rot="0" spcFirstLastPara="1" vertOverflow="clip" horzOverflow="clip" vert="horz" wrap="square" lIns="38100" tIns="19050" rIns="38100" bIns="19050" anchor="ctr" anchorCtr="1">
              <a:no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15:layout>
                <c:manualLayout>
                  <c:w val="6.3716059602649006E-2"/>
                  <c:h val="2.4792489711934158E-2"/>
                </c:manualLayout>
              </c15:layout>
            </c:ext>
          </c:extLst>
        </c:dLbl>
      </c:pivotFmt>
      <c:pivotFmt>
        <c:idx val="24"/>
        <c:spPr>
          <a:solidFill>
            <a:srgbClr val="7A9BAA"/>
          </a:solidFill>
          <a:ln>
            <a:solidFill>
              <a:srgbClr val="7A9BAA"/>
            </a:solidFill>
          </a:ln>
          <a:effectLst/>
          <a:scene3d>
            <a:camera prst="orthographicFront"/>
            <a:lightRig rig="brightRoom" dir="t"/>
          </a:scene3d>
          <a:sp3d prstMaterial="flat">
            <a:bevelT w="50800" h="101600" prst="angle"/>
            <a:contourClr>
              <a:srgbClr val="000000"/>
            </a:contourClr>
          </a:sp3d>
        </c:spPr>
        <c:dLbl>
          <c:idx val="0"/>
          <c:layout>
            <c:manualLayout>
              <c:x val="-8.1538815305371617E-2"/>
              <c:y val="-0.10933065843621403"/>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5"/>
        <c:spPr>
          <a:solidFill>
            <a:srgbClr val="4F6D7A"/>
          </a:solidFill>
          <a:ln>
            <a:solidFill>
              <a:srgbClr val="4F6D7A"/>
            </a:solidFill>
          </a:ln>
          <a:effectLst/>
          <a:scene3d>
            <a:camera prst="orthographicFront"/>
            <a:lightRig rig="brightRoom" dir="t"/>
          </a:scene3d>
          <a:sp3d prstMaterial="flat">
            <a:bevelT w="50800" h="101600" prst="angle"/>
            <a:contourClr>
              <a:srgbClr val="000000"/>
            </a:contourClr>
          </a:sp3d>
        </c:spPr>
        <c:dLbl>
          <c:idx val="0"/>
          <c:layout>
            <c:manualLayout>
              <c:x val="-0.12012582781456954"/>
              <c:y val="-6.2804423868312753E-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6"/>
        <c:dLbl>
          <c:idx val="0"/>
          <c:layout>
            <c:manualLayout>
              <c:x val="-6.7588327832837927E-2"/>
              <c:y val="0.13660192147034253"/>
            </c:manualLayout>
          </c:layout>
          <c:showLegendKey val="0"/>
          <c:showVal val="1"/>
          <c:showCatName val="0"/>
          <c:showSerName val="0"/>
          <c:showPercent val="1"/>
          <c:showBubbleSize val="0"/>
          <c:separator>; </c:separator>
          <c:extLst>
            <c:ext xmlns:c15="http://schemas.microsoft.com/office/drawing/2012/chart" uri="{CE6537A1-D6FC-4f65-9D91-7224C49458BB}"/>
          </c:extLst>
        </c:dLbl>
      </c:pivotFmt>
      <c:pivotFmt>
        <c:idx val="27"/>
        <c:spPr>
          <a:solidFill>
            <a:srgbClr val="434343"/>
          </a:solidFill>
          <a:ln>
            <a:solidFill>
              <a:srgbClr val="434343"/>
            </a:solidFill>
          </a:ln>
          <a:effectLst/>
          <a:scene3d>
            <a:camera prst="orthographicFront"/>
            <a:lightRig rig="brightRoom" dir="t"/>
          </a:scene3d>
          <a:sp3d prstMaterial="flat">
            <a:bevelT w="50800" h="101600" prst="angle"/>
            <a:contourClr>
              <a:srgbClr val="000000"/>
            </a:contourClr>
          </a:sp3d>
        </c:spPr>
        <c:dLbl>
          <c:idx val="0"/>
          <c:layout>
            <c:manualLayout>
              <c:x val="0.16067917586460634"/>
              <c:y val="2.0247119341563785E-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8"/>
        <c:spPr>
          <a:solidFill>
            <a:srgbClr val="CB959B"/>
          </a:solidFill>
          <a:ln>
            <a:solidFill>
              <a:srgbClr val="CB959B"/>
            </a:solidFill>
          </a:ln>
          <a:effectLst/>
          <a:scene3d>
            <a:camera prst="orthographicFront"/>
            <a:lightRig rig="brightRoom" dir="t"/>
          </a:scene3d>
          <a:sp3d prstMaterial="flat">
            <a:bevelT w="50800" h="101600" prst="angle"/>
            <a:contourClr>
              <a:srgbClr val="000000"/>
            </a:contourClr>
          </a:sp3d>
        </c:spPr>
        <c:dLbl>
          <c:idx val="0"/>
          <c:layout>
            <c:manualLayout>
              <c:x val="0.14869432123224344"/>
              <c:y val="-2.6524644945697624E-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29"/>
        <c:spPr>
          <a:solidFill>
            <a:srgbClr val="B4656F"/>
          </a:solidFill>
          <a:ln>
            <a:solidFill>
              <a:srgbClr val="B4656F"/>
            </a:solidFill>
          </a:ln>
          <a:effectLst/>
          <a:scene3d>
            <a:camera prst="orthographicFront"/>
            <a:lightRig rig="brightRoom" dir="t"/>
          </a:scene3d>
          <a:sp3d prstMaterial="flat">
            <a:bevelT w="50800" h="101600" prst="angle"/>
            <a:contourClr>
              <a:srgbClr val="000000"/>
            </a:contourClr>
          </a:sp3d>
        </c:spPr>
        <c:dLbl>
          <c:idx val="0"/>
          <c:layout>
            <c:manualLayout>
              <c:x val="2.5640452538631345E-2"/>
              <c:y val="1.5060082304526653E-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0"/>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3"/>
        <c:spPr>
          <a:solidFill>
            <a:srgbClr val="E8A160"/>
          </a:solidFill>
          <a:ln>
            <a:noFill/>
          </a:ln>
          <a:effectLst/>
          <a:scene3d>
            <a:camera prst="orthographicFront"/>
            <a:lightRig rig="brightRoom" dir="t"/>
          </a:scene3d>
          <a:sp3d prstMaterial="flat">
            <a:bevelT w="50800" h="101600" prst="angle"/>
            <a:contourClr>
              <a:srgbClr val="000000"/>
            </a:contourClr>
          </a:sp3d>
        </c:spPr>
      </c:pivotFmt>
      <c:pivotFmt>
        <c:idx val="34"/>
        <c:spPr>
          <a:solidFill>
            <a:srgbClr val="DAE2F2"/>
          </a:solidFill>
          <a:ln>
            <a:noFill/>
          </a:ln>
          <a:effectLst/>
          <a:scene3d>
            <a:camera prst="orthographicFront"/>
            <a:lightRig rig="brightRoom" dir="t"/>
          </a:scene3d>
          <a:sp3d prstMaterial="flat">
            <a:bevelT w="50800" h="101600" prst="angle"/>
            <a:contourClr>
              <a:srgbClr val="000000"/>
            </a:contourClr>
          </a:sp3d>
        </c:spPr>
        <c:dLbl>
          <c:idx val="0"/>
          <c:layout>
            <c:manualLayout>
              <c:x val="6.3079470198675491E-2"/>
              <c:y val="-0.17444917321029704"/>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5"/>
        <c:spPr>
          <a:solidFill>
            <a:srgbClr val="434343"/>
          </a:solidFill>
          <a:ln>
            <a:noFill/>
          </a:ln>
          <a:effectLst/>
          <a:scene3d>
            <a:camera prst="orthographicFront"/>
            <a:lightRig rig="brightRoom" dir="t"/>
          </a:scene3d>
          <a:sp3d prstMaterial="flat">
            <a:bevelT w="50800" h="101600" prst="angle"/>
            <a:contourClr>
              <a:srgbClr val="000000"/>
            </a:contourClr>
          </a:sp3d>
        </c:spPr>
      </c:pivotFmt>
      <c:pivotFmt>
        <c:idx val="36"/>
        <c:spPr>
          <a:solidFill>
            <a:srgbClr val="C6DFBB"/>
          </a:solidFill>
          <a:ln>
            <a:noFill/>
          </a:ln>
          <a:effectLst/>
          <a:scene3d>
            <a:camera prst="orthographicFront"/>
            <a:lightRig rig="brightRoom" dir="t"/>
          </a:scene3d>
          <a:sp3d prstMaterial="flat">
            <a:bevelT w="50800" h="101600" prst="angle"/>
            <a:contourClr>
              <a:srgbClr val="000000"/>
            </a:contourClr>
          </a:sp3d>
        </c:spPr>
        <c:dLbl>
          <c:idx val="0"/>
          <c:layout>
            <c:manualLayout>
              <c:x val="2.3362766740250143E-2"/>
              <c:y val="-0.19715450643477339"/>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7"/>
        <c:spPr>
          <a:solidFill>
            <a:srgbClr val="A8D08D"/>
          </a:solidFill>
          <a:ln>
            <a:noFill/>
          </a:ln>
          <a:effectLst/>
          <a:scene3d>
            <a:camera prst="orthographicFront"/>
            <a:lightRig rig="brightRoom" dir="t"/>
          </a:scene3d>
          <a:sp3d prstMaterial="flat">
            <a:bevelT w="50800" h="101600" prst="angle"/>
            <a:contourClr>
              <a:srgbClr val="000000"/>
            </a:contourClr>
          </a:sp3d>
        </c:spPr>
        <c:dLbl>
          <c:idx val="0"/>
          <c:layout>
            <c:manualLayout>
              <c:x val="-4.5557395143487861E-2"/>
              <c:y val="-0.18398853373135912"/>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8"/>
        <c:spPr>
          <a:solidFill>
            <a:srgbClr val="A3C4C9"/>
          </a:solidFill>
          <a:ln>
            <a:noFill/>
          </a:ln>
          <a:effectLst/>
          <a:scene3d>
            <a:camera prst="orthographicFront"/>
            <a:lightRig rig="brightRoom" dir="t"/>
          </a:scene3d>
          <a:sp3d prstMaterial="flat">
            <a:bevelT w="50800" h="101600" prst="angle"/>
            <a:contourClr>
              <a:srgbClr val="000000"/>
            </a:contourClr>
          </a:sp3d>
        </c:spPr>
        <c:dLbl>
          <c:idx val="0"/>
          <c:layout>
            <c:manualLayout>
              <c:x val="-7.2424576894775564E-2"/>
              <c:y val="-0.12507575757575756"/>
            </c:manualLayout>
          </c:layout>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9"/>
        <c:spPr>
          <a:solidFill>
            <a:srgbClr val="4F6D7A"/>
          </a:solidFill>
          <a:ln>
            <a:noFill/>
          </a:ln>
          <a:effectLst/>
          <a:scene3d>
            <a:camera prst="orthographicFront"/>
            <a:lightRig rig="brightRoom" dir="t"/>
          </a:scene3d>
          <a:sp3d prstMaterial="flat">
            <a:bevelT w="50800" h="101600" prst="angle"/>
            <a:contourClr>
              <a:srgbClr val="000000"/>
            </a:contourClr>
          </a:sp3d>
        </c:spPr>
      </c:pivotFmt>
      <c:pivotFmt>
        <c:idx val="40"/>
        <c:spPr>
          <a:solidFill>
            <a:srgbClr val="7A9BAA"/>
          </a:solidFill>
          <a:ln>
            <a:noFill/>
          </a:ln>
          <a:effectLst/>
          <a:scene3d>
            <a:camera prst="orthographicFront"/>
            <a:lightRig rig="brightRoom" dir="t"/>
          </a:scene3d>
          <a:sp3d prstMaterial="flat">
            <a:bevelT w="50800" h="101600" prst="angle"/>
            <a:contourClr>
              <a:srgbClr val="000000"/>
            </a:contourClr>
          </a:sp3d>
        </c:spPr>
      </c:pivotFmt>
      <c:pivotFmt>
        <c:idx val="41"/>
        <c:spPr>
          <a:solidFill>
            <a:srgbClr val="B4656F"/>
          </a:solidFill>
          <a:ln>
            <a:noFill/>
          </a:ln>
          <a:effectLst/>
          <a:scene3d>
            <a:camera prst="orthographicFront"/>
            <a:lightRig rig="brightRoom" dir="t"/>
          </a:scene3d>
          <a:sp3d prstMaterial="flat">
            <a:bevelT w="50800" h="101600" prst="angle"/>
            <a:contourClr>
              <a:srgbClr val="000000"/>
            </a:contourClr>
          </a:sp3d>
        </c:spPr>
      </c:pivotFmt>
      <c:pivotFmt>
        <c:idx val="42"/>
        <c:spPr>
          <a:solidFill>
            <a:srgbClr val="CB959B"/>
          </a:solidFill>
          <a:ln>
            <a:noFill/>
          </a:ln>
          <a:effectLst/>
          <a:scene3d>
            <a:camera prst="orthographicFront"/>
            <a:lightRig rig="brightRoom" dir="t"/>
          </a:scene3d>
          <a:sp3d prstMaterial="flat">
            <a:bevelT w="50800" h="101600" prst="angle"/>
            <a:contourClr>
              <a:srgbClr val="000000"/>
            </a:contourClr>
          </a:sp3d>
        </c:spPr>
      </c:pivotFmt>
      <c:pivotFmt>
        <c:idx val="43"/>
        <c:spPr>
          <a:solidFill>
            <a:srgbClr val="CA939A"/>
          </a:solidFill>
          <a:ln>
            <a:no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6.2116068140387878E-2"/>
          <c:y val="0.20769162489557225"/>
          <c:w val="0.60828395187001461"/>
          <c:h val="0.71615246449456971"/>
        </c:manualLayout>
      </c:layout>
      <c:doughnutChart>
        <c:varyColors val="1"/>
        <c:ser>
          <c:idx val="0"/>
          <c:order val="0"/>
          <c:tx>
            <c:strRef>
              <c:f>Pivots!$C$13</c:f>
              <c:strCache>
                <c:ptCount val="1"/>
                <c:pt idx="0">
                  <c:v>Total</c:v>
                </c:pt>
              </c:strCache>
            </c:strRef>
          </c:tx>
          <c:explosion val="1"/>
          <c:dPt>
            <c:idx val="0"/>
            <c:bubble3D val="0"/>
            <c:spPr>
              <a:solidFill>
                <a:srgbClr val="E8A1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7-7E47-4A0F-A693-1AF6CD8A97E8}"/>
              </c:ext>
            </c:extLst>
          </c:dPt>
          <c:dPt>
            <c:idx val="1"/>
            <c:bubble3D val="0"/>
            <c:spPr>
              <a:solidFill>
                <a:srgbClr val="B4656F"/>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6-7E47-4A0F-A693-1AF6CD8A97E8}"/>
              </c:ext>
            </c:extLst>
          </c:dPt>
          <c:dPt>
            <c:idx val="2"/>
            <c:bubble3D val="0"/>
            <c:spPr>
              <a:solidFill>
                <a:srgbClr val="CA939A"/>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5-7E47-4A0F-A693-1AF6CD8A97E8}"/>
              </c:ext>
            </c:extLst>
          </c:dPt>
          <c:dPt>
            <c:idx val="3"/>
            <c:bubble3D val="0"/>
            <c:spPr>
              <a:solidFill>
                <a:srgbClr val="CB959B"/>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D-7E47-4A0F-A693-1AF6CD8A97E8}"/>
              </c:ext>
            </c:extLst>
          </c:dPt>
          <c:dPt>
            <c:idx val="4"/>
            <c:bubble3D val="0"/>
            <c:spPr>
              <a:solidFill>
                <a:srgbClr val="7A9BAA"/>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C-7E47-4A0F-A693-1AF6CD8A97E8}"/>
              </c:ext>
            </c:extLst>
          </c:dPt>
          <c:dPt>
            <c:idx val="5"/>
            <c:bubble3D val="0"/>
            <c:spPr>
              <a:solidFill>
                <a:srgbClr val="4F6D7A"/>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B-7E47-4A0F-A693-1AF6CD8A97E8}"/>
              </c:ext>
            </c:extLst>
          </c:dPt>
          <c:dPt>
            <c:idx val="6"/>
            <c:bubble3D val="0"/>
            <c:spPr>
              <a:solidFill>
                <a:srgbClr val="A3C4C9"/>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A-7E47-4A0F-A693-1AF6CD8A97E8}"/>
              </c:ext>
            </c:extLst>
          </c:dPt>
          <c:dPt>
            <c:idx val="7"/>
            <c:bubble3D val="0"/>
            <c:spPr>
              <a:solidFill>
                <a:srgbClr val="A8D08D"/>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9-7E47-4A0F-A693-1AF6CD8A97E8}"/>
              </c:ext>
            </c:extLst>
          </c:dPt>
          <c:dPt>
            <c:idx val="8"/>
            <c:bubble3D val="0"/>
            <c:spPr>
              <a:solidFill>
                <a:srgbClr val="C6DFBB"/>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8-7E47-4A0F-A693-1AF6CD8A97E8}"/>
              </c:ext>
            </c:extLst>
          </c:dPt>
          <c:dPt>
            <c:idx val="9"/>
            <c:bubble3D val="0"/>
            <c:spPr>
              <a:solidFill>
                <a:srgbClr val="43434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E130-4F5D-BEA0-0F84489A3DC6}"/>
              </c:ext>
            </c:extLst>
          </c:dPt>
          <c:dPt>
            <c:idx val="10"/>
            <c:bubble3D val="0"/>
            <c:spPr>
              <a:solidFill>
                <a:srgbClr val="DAE2F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5-E130-4F5D-BEA0-0F84489A3DC6}"/>
              </c:ext>
            </c:extLst>
          </c:dPt>
          <c:dLbls>
            <c:dLbl>
              <c:idx val="6"/>
              <c:layout>
                <c:manualLayout>
                  <c:x val="-7.2424576894775564E-2"/>
                  <c:y val="-0.12507575757575756"/>
                </c:manualLayout>
              </c:layou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A-7E47-4A0F-A693-1AF6CD8A97E8}"/>
                </c:ext>
              </c:extLst>
            </c:dLbl>
            <c:dLbl>
              <c:idx val="7"/>
              <c:layout>
                <c:manualLayout>
                  <c:x val="-4.5557395143487861E-2"/>
                  <c:y val="-0.18398853373135912"/>
                </c:manualLayout>
              </c:layou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7E47-4A0F-A693-1AF6CD8A97E8}"/>
                </c:ext>
              </c:extLst>
            </c:dLbl>
            <c:dLbl>
              <c:idx val="8"/>
              <c:layout>
                <c:manualLayout>
                  <c:x val="2.3362766740250143E-2"/>
                  <c:y val="-0.19715450643477339"/>
                </c:manualLayout>
              </c:layou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7E47-4A0F-A693-1AF6CD8A97E8}"/>
                </c:ext>
              </c:extLst>
            </c:dLbl>
            <c:dLbl>
              <c:idx val="10"/>
              <c:layout>
                <c:manualLayout>
                  <c:x val="6.3079470198675491E-2"/>
                  <c:y val="-0.17444917321029704"/>
                </c:manualLayout>
              </c:layou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E130-4F5D-BEA0-0F84489A3DC6}"/>
                </c:ext>
              </c:extLst>
            </c:dLbl>
            <c:spPr>
              <a:noFill/>
              <a:ln>
                <a:noFill/>
              </a:ln>
              <a:effectLst/>
            </c:spPr>
            <c:txPr>
              <a:bodyPr rot="0" spcFirstLastPara="1" vertOverflow="clip" horzOverflow="clip"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Pivots!$B$14:$B$25</c:f>
              <c:strCache>
                <c:ptCount val="11"/>
                <c:pt idx="0">
                  <c:v>Energy</c:v>
                </c:pt>
                <c:pt idx="1">
                  <c:v>Materials procured</c:v>
                </c:pt>
                <c:pt idx="2">
                  <c:v>Materials cups, tableware, cutlery</c:v>
                </c:pt>
                <c:pt idx="3">
                  <c:v>Materials end-of-life</c:v>
                </c:pt>
                <c:pt idx="4">
                  <c:v>Travel</c:v>
                </c:pt>
                <c:pt idx="5">
                  <c:v>Transport</c:v>
                </c:pt>
                <c:pt idx="6">
                  <c:v>Water</c:v>
                </c:pt>
                <c:pt idx="7">
                  <c:v>Food</c:v>
                </c:pt>
                <c:pt idx="8">
                  <c:v>Drinks</c:v>
                </c:pt>
                <c:pt idx="9">
                  <c:v>Overnight stay</c:v>
                </c:pt>
                <c:pt idx="10">
                  <c:v>Digital</c:v>
                </c:pt>
              </c:strCache>
            </c:strRef>
          </c:cat>
          <c:val>
            <c:numRef>
              <c:f>Pivots!$C$14:$C$25</c:f>
              <c:numCache>
                <c:formatCode>_-* #,##0_-;\-* #,##0_-;_-* "-"??_-;_-@_-</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7E47-4A0F-A693-1AF6CD8A97E8}"/>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8401919224674954"/>
          <c:y val="0.15996957173764606"/>
          <c:w val="0.20922197496996667"/>
          <c:h val="0.76293983611124561"/>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(2026).xlsx]Pivots!PivotTable2</c:name>
    <c:fmtId val="1"/>
  </c:pivotSource>
  <c:chart>
    <c:title>
      <c:tx>
        <c:rich>
          <a:bodyPr rot="0" spcFirstLastPara="1" vertOverflow="ellipsis" vert="horz" wrap="square" anchor="ctr" anchorCtr="1"/>
          <a:lstStyle/>
          <a:p>
            <a:pPr>
              <a:defRPr lang="nl-NL" sz="2800" b="1" i="0" u="none" strike="noStrike" kern="1200" cap="all" spc="50" baseline="0">
                <a:solidFill>
                  <a:srgbClr val="000000">
                    <a:lumMod val="65000"/>
                    <a:lumOff val="35000"/>
                  </a:srgbClr>
                </a:solidFill>
                <a:latin typeface="+mn-lt"/>
                <a:ea typeface="+mn-ea"/>
                <a:cs typeface="+mn-cs"/>
              </a:defRPr>
            </a:pPr>
            <a:r>
              <a:rPr lang="nl-NL" sz="2800" b="1" i="0" u="none" strike="noStrike" kern="1200" cap="all" spc="50" baseline="0">
                <a:solidFill>
                  <a:srgbClr val="000000">
                    <a:lumMod val="65000"/>
                    <a:lumOff val="35000"/>
                  </a:srgbClr>
                </a:solidFill>
                <a:latin typeface="+mn-lt"/>
                <a:ea typeface="+mn-ea"/>
                <a:cs typeface="+mn-cs"/>
              </a:rPr>
              <a:t>Procured materials </a:t>
            </a:r>
            <a:r>
              <a:rPr lang="nl-NL" sz="1800" b="1" i="0" u="none" strike="noStrike" kern="1200" cap="all" spc="50" baseline="0">
                <a:solidFill>
                  <a:srgbClr val="000000">
                    <a:lumMod val="65000"/>
                    <a:lumOff val="35000"/>
                  </a:srgbClr>
                </a:solidFill>
                <a:latin typeface="+mn-lt"/>
                <a:ea typeface="+mn-ea"/>
                <a:cs typeface="+mn-cs"/>
              </a:rPr>
              <a:t>(KG)</a:t>
            </a:r>
            <a:endParaRPr lang="nl-NL" sz="2800" b="1" i="0" u="none" strike="noStrike" kern="1200" cap="all" spc="50" baseline="0">
              <a:solidFill>
                <a:srgbClr val="000000">
                  <a:lumMod val="65000"/>
                  <a:lumOff val="35000"/>
                </a:srgbClr>
              </a:solidFill>
              <a:latin typeface="+mn-lt"/>
              <a:ea typeface="+mn-ea"/>
              <a:cs typeface="+mn-cs"/>
            </a:endParaRPr>
          </a:p>
        </c:rich>
      </c:tx>
      <c:overlay val="0"/>
      <c:spPr>
        <a:noFill/>
        <a:ln>
          <a:noFill/>
        </a:ln>
        <a:effectLst/>
      </c:spPr>
    </c:title>
    <c:autoTitleDeleted val="0"/>
    <c:pivotFmts>
      <c:pivotFmt>
        <c:idx val="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pivotFmt>
      <c:pivotFmt>
        <c:idx val="18"/>
        <c:spPr>
          <a:solidFill>
            <a:schemeClr val="accent1"/>
          </a:solidFill>
          <a:ln>
            <a:noFill/>
          </a:ln>
          <a:effectLst/>
        </c:spPr>
      </c:pivotFmt>
      <c:pivotFmt>
        <c:idx val="19"/>
        <c:spPr>
          <a:solidFill>
            <a:schemeClr val="accent1"/>
          </a:solidFill>
          <a:ln>
            <a:noFill/>
          </a:ln>
          <a:effectLst/>
        </c:spPr>
      </c:pivotFmt>
      <c:pivotFmt>
        <c:idx val="20"/>
        <c:spPr>
          <a:solidFill>
            <a:schemeClr val="accent1"/>
          </a:solidFill>
          <a:ln>
            <a:noFill/>
          </a:ln>
          <a:effectLst/>
        </c:spPr>
      </c:pivotFmt>
      <c:pivotFmt>
        <c:idx val="21"/>
        <c:spPr>
          <a:solidFill>
            <a:schemeClr val="accent1"/>
          </a:solidFill>
          <a:ln>
            <a:noFill/>
          </a:ln>
          <a:effectLst/>
        </c:spPr>
      </c:pivotFmt>
      <c:pivotFmt>
        <c:idx val="22"/>
        <c:spPr>
          <a:solidFill>
            <a:schemeClr val="accent1"/>
          </a:solidFill>
          <a:ln>
            <a:noFill/>
          </a:ln>
          <a:effectLst/>
        </c:spPr>
      </c:pivotFmt>
      <c:pivotFmt>
        <c:idx val="23"/>
        <c:spPr>
          <a:solidFill>
            <a:schemeClr val="accent1"/>
          </a:solidFill>
          <a:ln>
            <a:noFill/>
          </a:ln>
          <a:effectLst/>
        </c:spPr>
      </c:pivotFmt>
      <c:pivotFmt>
        <c:idx val="24"/>
        <c:spPr>
          <a:solidFill>
            <a:schemeClr val="accent1"/>
          </a:solidFill>
          <a:ln>
            <a:noFill/>
          </a:ln>
          <a:effectLst/>
        </c:spPr>
      </c:pivotFmt>
      <c:pivotFmt>
        <c:idx val="25"/>
        <c:spPr>
          <a:solidFill>
            <a:schemeClr val="accent1"/>
          </a:solidFill>
          <a:ln>
            <a:noFill/>
          </a:ln>
          <a:effectLst/>
        </c:spPr>
      </c:pivotFmt>
      <c:pivotFmt>
        <c:idx val="26"/>
        <c:spPr>
          <a:solidFill>
            <a:schemeClr val="accent1"/>
          </a:solidFill>
          <a:ln>
            <a:noFill/>
          </a:ln>
          <a:effectLst/>
        </c:spPr>
      </c:pivotFmt>
      <c:pivotFmt>
        <c:idx val="27"/>
        <c:spPr>
          <a:solidFill>
            <a:schemeClr val="accent1"/>
          </a:solidFill>
          <a:ln>
            <a:noFill/>
          </a:ln>
          <a:effectLst/>
        </c:spPr>
      </c:pivotFmt>
      <c:pivotFmt>
        <c:idx val="28"/>
        <c:spPr>
          <a:solidFill>
            <a:schemeClr val="accent1"/>
          </a:solidFill>
          <a:ln>
            <a:noFill/>
          </a:ln>
          <a:effectLst/>
        </c:spPr>
      </c:pivotFmt>
      <c:pivotFmt>
        <c:idx val="29"/>
        <c:spPr>
          <a:solidFill>
            <a:schemeClr val="accent1"/>
          </a:solidFill>
          <a:ln>
            <a:noFill/>
          </a:ln>
          <a:effectLst/>
        </c:spPr>
      </c:pivotFmt>
      <c:pivotFmt>
        <c:idx val="30"/>
        <c:spPr>
          <a:solidFill>
            <a:schemeClr val="accent1"/>
          </a:solidFill>
          <a:ln>
            <a:noFill/>
          </a:ln>
          <a:effectLst/>
        </c:spPr>
      </c:pivotFmt>
      <c:pivotFmt>
        <c:idx val="31"/>
        <c:spPr>
          <a:solidFill>
            <a:schemeClr val="accent1"/>
          </a:solidFill>
          <a:ln>
            <a:noFill/>
          </a:ln>
          <a:effectLst/>
        </c:spPr>
      </c:pivotFmt>
      <c:pivotFmt>
        <c:idx val="32"/>
        <c:spPr>
          <a:solidFill>
            <a:schemeClr val="accent1"/>
          </a:solidFill>
          <a:ln>
            <a:noFill/>
          </a:ln>
          <a:effectLst/>
        </c:spPr>
      </c:pivotFmt>
      <c:pivotFmt>
        <c:idx val="33"/>
        <c:spPr>
          <a:solidFill>
            <a:schemeClr val="accent1"/>
          </a:solidFill>
          <a:ln>
            <a:noFill/>
          </a:ln>
          <a:effectLst/>
        </c:spPr>
      </c:pivotFmt>
      <c:pivotFmt>
        <c:idx val="34"/>
        <c:spPr>
          <a:solidFill>
            <a:schemeClr val="accent1"/>
          </a:solidFill>
          <a:ln>
            <a:noFill/>
          </a:ln>
          <a:effectLst/>
        </c:spPr>
      </c:pivotFmt>
      <c:pivotFmt>
        <c:idx val="35"/>
        <c:spPr>
          <a:solidFill>
            <a:schemeClr val="accent1"/>
          </a:solidFill>
          <a:ln>
            <a:noFill/>
          </a:ln>
          <a:effectLst/>
        </c:spPr>
      </c:pivotFmt>
      <c:pivotFmt>
        <c:idx val="36"/>
        <c:spPr>
          <a:solidFill>
            <a:schemeClr val="accent1"/>
          </a:solidFill>
          <a:ln>
            <a:noFill/>
          </a:ln>
          <a:effectLst/>
        </c:spPr>
      </c:pivotFmt>
      <c:pivotFmt>
        <c:idx val="37"/>
        <c:spPr>
          <a:solidFill>
            <a:schemeClr val="accent1"/>
          </a:solidFill>
          <a:ln>
            <a:noFill/>
          </a:ln>
          <a:effectLst/>
        </c:spPr>
      </c:pivotFmt>
      <c:pivotFmt>
        <c:idx val="38"/>
        <c:spPr>
          <a:solidFill>
            <a:schemeClr val="accent1"/>
          </a:solidFill>
          <a:ln>
            <a:noFill/>
          </a:ln>
          <a:effectLst/>
        </c:spPr>
      </c:pivotFmt>
      <c:pivotFmt>
        <c:idx val="39"/>
        <c:spPr>
          <a:solidFill>
            <a:schemeClr val="accent1"/>
          </a:solidFill>
          <a:ln>
            <a:noFill/>
          </a:ln>
          <a:effectLst/>
        </c:spPr>
      </c:pivotFmt>
      <c:pivotFmt>
        <c:idx val="40"/>
        <c:spPr>
          <a:solidFill>
            <a:schemeClr val="accent1"/>
          </a:solidFill>
          <a:ln>
            <a:noFill/>
          </a:ln>
          <a:effectLst/>
        </c:spPr>
      </c:pivotFmt>
      <c:pivotFmt>
        <c:idx val="41"/>
        <c:spPr>
          <a:solidFill>
            <a:schemeClr val="accent1"/>
          </a:solidFill>
          <a:ln>
            <a:noFill/>
          </a:ln>
          <a:effectLst/>
        </c:spPr>
      </c:pivotFmt>
      <c:pivotFmt>
        <c:idx val="42"/>
        <c:spPr>
          <a:solidFill>
            <a:schemeClr val="accent1"/>
          </a:solidFill>
          <a:ln>
            <a:noFill/>
          </a:ln>
          <a:effectLst/>
        </c:spPr>
      </c:pivotFmt>
      <c:pivotFmt>
        <c:idx val="43"/>
        <c:spPr>
          <a:solidFill>
            <a:schemeClr val="accent1"/>
          </a:solidFill>
          <a:ln>
            <a:noFill/>
          </a:ln>
          <a:effectLst/>
        </c:spPr>
      </c:pivotFmt>
      <c:pivotFmt>
        <c:idx val="44"/>
        <c:spPr>
          <a:solidFill>
            <a:schemeClr val="accent1"/>
          </a:solidFill>
          <a:ln>
            <a:noFill/>
          </a:ln>
          <a:effectLst/>
        </c:spPr>
      </c:pivotFmt>
      <c:pivotFmt>
        <c:idx val="45"/>
        <c:spPr>
          <a:solidFill>
            <a:schemeClr val="accent1"/>
          </a:solidFill>
          <a:ln>
            <a:noFill/>
          </a:ln>
          <a:effectLst/>
        </c:spPr>
      </c:pivotFmt>
      <c:pivotFmt>
        <c:idx val="46"/>
        <c:spPr>
          <a:solidFill>
            <a:schemeClr val="accent1"/>
          </a:solidFill>
          <a:ln>
            <a:noFill/>
          </a:ln>
          <a:effectLst/>
        </c:spPr>
      </c:pivotFmt>
      <c:pivotFmt>
        <c:idx val="47"/>
        <c:spPr>
          <a:solidFill>
            <a:schemeClr val="accent1"/>
          </a:solidFill>
          <a:ln>
            <a:noFill/>
          </a:ln>
          <a:effectLst/>
        </c:spPr>
      </c:pivotFmt>
      <c:pivotFmt>
        <c:idx val="48"/>
        <c:spPr>
          <a:solidFill>
            <a:schemeClr val="accent1"/>
          </a:solidFill>
          <a:ln>
            <a:noFill/>
          </a:ln>
          <a:effectLst/>
        </c:spPr>
      </c:pivotFmt>
      <c:pivotFmt>
        <c:idx val="49"/>
        <c:spPr>
          <a:solidFill>
            <a:schemeClr val="accent1"/>
          </a:solidFill>
          <a:ln>
            <a:noFill/>
          </a:ln>
          <a:effectLst/>
        </c:spPr>
      </c:pivotFmt>
      <c:pivotFmt>
        <c:idx val="50"/>
        <c:spPr>
          <a:solidFill>
            <a:schemeClr val="accent1"/>
          </a:solidFill>
          <a:ln>
            <a:noFill/>
          </a:ln>
          <a:effectLst/>
        </c:spPr>
      </c:pivotFmt>
      <c:pivotFmt>
        <c:idx val="51"/>
        <c:spPr>
          <a:solidFill>
            <a:schemeClr val="accent1"/>
          </a:solidFill>
          <a:ln>
            <a:noFill/>
          </a:ln>
          <a:effectLst/>
        </c:spPr>
      </c:pivotFmt>
      <c:pivotFmt>
        <c:idx val="52"/>
        <c:spPr>
          <a:solidFill>
            <a:schemeClr val="accent1"/>
          </a:solidFill>
          <a:ln>
            <a:noFill/>
          </a:ln>
          <a:effectLst/>
        </c:spPr>
      </c:pivotFmt>
      <c:pivotFmt>
        <c:idx val="53"/>
        <c:spPr>
          <a:solidFill>
            <a:schemeClr val="accent1"/>
          </a:solidFill>
          <a:ln>
            <a:noFill/>
          </a:ln>
          <a:effectLst/>
        </c:spPr>
      </c:pivotFmt>
      <c:pivotFmt>
        <c:idx val="54"/>
        <c:spPr>
          <a:solidFill>
            <a:schemeClr val="accent1"/>
          </a:solidFill>
          <a:ln>
            <a:noFill/>
          </a:ln>
          <a:effectLst/>
        </c:spPr>
      </c:pivotFmt>
      <c:pivotFmt>
        <c:idx val="55"/>
        <c:spPr>
          <a:solidFill>
            <a:schemeClr val="accent1"/>
          </a:solidFill>
          <a:ln>
            <a:noFill/>
          </a:ln>
          <a:effectLst/>
        </c:spPr>
      </c:pivotFmt>
      <c:pivotFmt>
        <c:idx val="56"/>
        <c:spPr>
          <a:solidFill>
            <a:schemeClr val="accent1"/>
          </a:solidFill>
          <a:ln>
            <a:noFill/>
          </a:ln>
          <a:effectLst/>
        </c:spPr>
      </c:pivotFmt>
      <c:pivotFmt>
        <c:idx val="57"/>
        <c:spPr>
          <a:solidFill>
            <a:schemeClr val="accent1"/>
          </a:solidFill>
          <a:ln>
            <a:noFill/>
          </a:ln>
          <a:effectLst/>
        </c:spPr>
      </c:pivotFmt>
      <c:pivotFmt>
        <c:idx val="58"/>
        <c:spPr>
          <a:solidFill>
            <a:schemeClr val="accent1"/>
          </a:solidFill>
          <a:ln>
            <a:noFill/>
          </a:ln>
          <a:effectLst/>
        </c:spPr>
      </c:pivotFmt>
      <c:pivotFmt>
        <c:idx val="59"/>
        <c:spPr>
          <a:solidFill>
            <a:schemeClr val="accent1"/>
          </a:solidFill>
          <a:ln>
            <a:noFill/>
          </a:ln>
          <a:effectLst/>
        </c:spPr>
      </c:pivotFmt>
      <c:pivotFmt>
        <c:idx val="60"/>
        <c:spPr>
          <a:solidFill>
            <a:schemeClr val="accent1"/>
          </a:solidFill>
          <a:ln>
            <a:noFill/>
          </a:ln>
          <a:effectLst/>
        </c:spPr>
      </c:pivotFmt>
      <c:pivotFmt>
        <c:idx val="61"/>
        <c:spPr>
          <a:solidFill>
            <a:schemeClr val="accent1"/>
          </a:solidFill>
          <a:ln>
            <a:noFill/>
          </a:ln>
          <a:effectLst/>
        </c:spPr>
      </c:pivotFmt>
      <c:pivotFmt>
        <c:idx val="62"/>
        <c:spPr>
          <a:solidFill>
            <a:schemeClr val="accent1"/>
          </a:solidFill>
          <a:ln>
            <a:noFill/>
          </a:ln>
          <a:effectLst/>
        </c:spPr>
      </c:pivotFmt>
      <c:pivotFmt>
        <c:idx val="63"/>
        <c:spPr>
          <a:solidFill>
            <a:schemeClr val="accent1"/>
          </a:solidFill>
          <a:ln>
            <a:noFill/>
          </a:ln>
          <a:effectLst/>
        </c:spPr>
      </c:pivotFmt>
      <c:pivotFmt>
        <c:idx val="64"/>
        <c:spPr>
          <a:solidFill>
            <a:schemeClr val="accent1"/>
          </a:solidFill>
          <a:ln>
            <a:noFill/>
          </a:ln>
          <a:effectLst/>
        </c:spPr>
      </c:pivotFmt>
      <c:pivotFmt>
        <c:idx val="65"/>
        <c:spPr>
          <a:solidFill>
            <a:schemeClr val="accent1"/>
          </a:solidFill>
          <a:ln>
            <a:noFill/>
          </a:ln>
          <a:effectLst/>
        </c:spPr>
      </c:pivotFmt>
      <c:pivotFmt>
        <c:idx val="66"/>
        <c:spPr>
          <a:solidFill>
            <a:schemeClr val="accent1"/>
          </a:solidFill>
          <a:ln>
            <a:noFill/>
          </a:ln>
          <a:effectLst/>
        </c:spPr>
      </c:pivotFmt>
      <c:pivotFmt>
        <c:idx val="67"/>
        <c:spPr>
          <a:solidFill>
            <a:schemeClr val="accent1"/>
          </a:solidFill>
          <a:ln>
            <a:noFill/>
          </a:ln>
          <a:effectLst/>
        </c:spPr>
      </c:pivotFmt>
      <c:pivotFmt>
        <c:idx val="68"/>
        <c:spPr>
          <a:solidFill>
            <a:schemeClr val="accent1"/>
          </a:solidFill>
          <a:ln>
            <a:noFill/>
          </a:ln>
          <a:effectLst/>
        </c:spPr>
      </c:pivotFmt>
      <c:pivotFmt>
        <c:idx val="69"/>
        <c:spPr>
          <a:solidFill>
            <a:schemeClr val="accent1"/>
          </a:solidFill>
          <a:ln>
            <a:noFill/>
          </a:ln>
          <a:effectLst/>
        </c:spPr>
      </c:pivotFmt>
      <c:pivotFmt>
        <c:idx val="70"/>
        <c:spPr>
          <a:solidFill>
            <a:schemeClr val="accent1"/>
          </a:solidFill>
          <a:ln>
            <a:noFill/>
          </a:ln>
          <a:effectLst/>
        </c:spPr>
      </c:pivotFmt>
      <c:pivotFmt>
        <c:idx val="71"/>
        <c:spPr>
          <a:solidFill>
            <a:schemeClr val="accent1"/>
          </a:solidFill>
          <a:ln>
            <a:noFill/>
          </a:ln>
          <a:effectLst/>
        </c:spPr>
      </c:pivotFmt>
      <c:pivotFmt>
        <c:idx val="72"/>
        <c:spPr>
          <a:solidFill>
            <a:schemeClr val="accent1"/>
          </a:solidFill>
          <a:ln>
            <a:noFill/>
          </a:ln>
          <a:effectLst/>
        </c:spPr>
      </c:pivotFmt>
      <c:pivotFmt>
        <c:idx val="73"/>
        <c:spPr>
          <a:solidFill>
            <a:schemeClr val="accent1"/>
          </a:solidFill>
          <a:ln>
            <a:noFill/>
          </a:ln>
          <a:effectLst/>
        </c:spPr>
      </c:pivotFmt>
      <c:pivotFmt>
        <c:idx val="74"/>
        <c:spPr>
          <a:solidFill>
            <a:schemeClr val="accent1"/>
          </a:solidFill>
          <a:ln>
            <a:noFill/>
          </a:ln>
          <a:effectLst/>
        </c:spPr>
      </c:pivotFmt>
      <c:pivotFmt>
        <c:idx val="75"/>
        <c:spPr>
          <a:solidFill>
            <a:schemeClr val="accent1"/>
          </a:solidFill>
          <a:ln>
            <a:noFill/>
          </a:ln>
          <a:effectLst/>
        </c:spPr>
      </c:pivotFmt>
      <c:pivotFmt>
        <c:idx val="76"/>
        <c:spPr>
          <a:solidFill>
            <a:schemeClr val="accent1"/>
          </a:solidFill>
          <a:ln>
            <a:noFill/>
          </a:ln>
          <a:effectLst/>
        </c:spPr>
      </c:pivotFmt>
      <c:pivotFmt>
        <c:idx val="77"/>
        <c:spPr>
          <a:solidFill>
            <a:schemeClr val="accent1"/>
          </a:solidFill>
          <a:ln>
            <a:noFill/>
          </a:ln>
          <a:effectLst/>
        </c:spPr>
      </c:pivotFmt>
      <c:pivotFmt>
        <c:idx val="78"/>
        <c:spPr>
          <a:solidFill>
            <a:schemeClr val="accent1"/>
          </a:solidFill>
          <a:ln>
            <a:noFill/>
          </a:ln>
          <a:effectLst/>
        </c:spPr>
      </c:pivotFmt>
      <c:pivotFmt>
        <c:idx val="79"/>
        <c:spPr>
          <a:solidFill>
            <a:schemeClr val="accent1"/>
          </a:solidFill>
          <a:ln>
            <a:noFill/>
          </a:ln>
          <a:effectLst/>
        </c:spPr>
      </c:pivotFmt>
      <c:pivotFmt>
        <c:idx val="80"/>
        <c:spPr>
          <a:solidFill>
            <a:schemeClr val="accent1"/>
          </a:solidFill>
          <a:ln>
            <a:noFill/>
          </a:ln>
          <a:effectLst/>
        </c:spPr>
      </c:pivotFmt>
      <c:pivotFmt>
        <c:idx val="81"/>
        <c:spPr>
          <a:solidFill>
            <a:schemeClr val="accent1"/>
          </a:solidFill>
          <a:ln>
            <a:noFill/>
          </a:ln>
          <a:effectLst/>
        </c:spPr>
      </c:pivotFmt>
      <c:pivotFmt>
        <c:idx val="82"/>
        <c:spPr>
          <a:solidFill>
            <a:schemeClr val="accent1"/>
          </a:solidFill>
          <a:ln>
            <a:noFill/>
          </a:ln>
          <a:effectLst/>
        </c:spPr>
      </c:pivotFmt>
      <c:pivotFmt>
        <c:idx val="83"/>
        <c:spPr>
          <a:solidFill>
            <a:schemeClr val="accent1"/>
          </a:solidFill>
          <a:ln>
            <a:noFill/>
          </a:ln>
          <a:effectLst/>
        </c:spPr>
      </c:pivotFmt>
      <c:pivotFmt>
        <c:idx val="84"/>
        <c:spPr>
          <a:solidFill>
            <a:schemeClr val="accent1"/>
          </a:solidFill>
          <a:ln>
            <a:noFill/>
          </a:ln>
          <a:effectLst/>
        </c:spPr>
      </c:pivotFmt>
      <c:pivotFmt>
        <c:idx val="85"/>
        <c:spPr>
          <a:solidFill>
            <a:schemeClr val="accent1"/>
          </a:solidFill>
          <a:ln>
            <a:noFill/>
          </a:ln>
          <a:effectLst/>
        </c:spPr>
      </c:pivotFmt>
      <c:pivotFmt>
        <c:idx val="86"/>
        <c:spPr>
          <a:solidFill>
            <a:schemeClr val="accent1"/>
          </a:solidFill>
          <a:ln>
            <a:noFill/>
          </a:ln>
          <a:effectLst/>
        </c:spPr>
      </c:pivotFmt>
      <c:pivotFmt>
        <c:idx val="87"/>
        <c:spPr>
          <a:solidFill>
            <a:schemeClr val="accent1"/>
          </a:solidFill>
          <a:ln>
            <a:noFill/>
          </a:ln>
          <a:effectLst/>
        </c:spPr>
      </c:pivotFmt>
      <c:pivotFmt>
        <c:idx val="88"/>
        <c:spPr>
          <a:solidFill>
            <a:schemeClr val="accent1"/>
          </a:solidFill>
          <a:ln>
            <a:noFill/>
          </a:ln>
          <a:effectLst/>
        </c:spPr>
      </c:pivotFmt>
      <c:pivotFmt>
        <c:idx val="89"/>
        <c:spPr>
          <a:solidFill>
            <a:schemeClr val="accent1"/>
          </a:solidFill>
          <a:ln>
            <a:noFill/>
          </a:ln>
          <a:effectLst/>
        </c:spPr>
      </c:pivotFmt>
      <c:pivotFmt>
        <c:idx val="90"/>
        <c:spPr>
          <a:solidFill>
            <a:schemeClr val="accent1"/>
          </a:solidFill>
          <a:ln>
            <a:noFill/>
          </a:ln>
          <a:effectLst/>
        </c:spPr>
      </c:pivotFmt>
      <c:pivotFmt>
        <c:idx val="91"/>
        <c:spPr>
          <a:solidFill>
            <a:schemeClr val="accent1"/>
          </a:solidFill>
          <a:ln>
            <a:noFill/>
          </a:ln>
          <a:effectLst/>
        </c:spPr>
      </c:pivotFmt>
      <c:pivotFmt>
        <c:idx val="92"/>
        <c:spPr>
          <a:solidFill>
            <a:schemeClr val="accent1"/>
          </a:solidFill>
          <a:ln>
            <a:noFill/>
          </a:ln>
          <a:effectLst/>
        </c:spPr>
      </c:pivotFmt>
      <c:pivotFmt>
        <c:idx val="93"/>
        <c:spPr>
          <a:solidFill>
            <a:schemeClr val="accent1"/>
          </a:solidFill>
          <a:ln>
            <a:noFill/>
          </a:ln>
          <a:effectLst/>
        </c:spPr>
      </c:pivotFmt>
      <c:pivotFmt>
        <c:idx val="94"/>
        <c:spPr>
          <a:solidFill>
            <a:schemeClr val="accent1"/>
          </a:solidFill>
          <a:ln>
            <a:noFill/>
          </a:ln>
          <a:effectLst/>
        </c:spPr>
      </c:pivotFmt>
      <c:pivotFmt>
        <c:idx val="95"/>
        <c:spPr>
          <a:solidFill>
            <a:schemeClr val="accent1"/>
          </a:solidFill>
          <a:ln>
            <a:noFill/>
          </a:ln>
          <a:effectLst/>
        </c:spPr>
      </c:pivotFmt>
      <c:pivotFmt>
        <c:idx val="96"/>
        <c:spPr>
          <a:solidFill>
            <a:schemeClr val="accent1"/>
          </a:solidFill>
          <a:ln>
            <a:noFill/>
          </a:ln>
          <a:effectLst/>
        </c:spPr>
      </c:pivotFmt>
      <c:pivotFmt>
        <c:idx val="97"/>
        <c:spPr>
          <a:solidFill>
            <a:schemeClr val="accent1"/>
          </a:solidFill>
          <a:ln>
            <a:noFill/>
          </a:ln>
          <a:effectLst/>
        </c:spPr>
      </c:pivotFmt>
      <c:pivotFmt>
        <c:idx val="98"/>
        <c:spPr>
          <a:solidFill>
            <a:schemeClr val="accent1"/>
          </a:solidFill>
          <a:ln>
            <a:noFill/>
          </a:ln>
          <a:effectLst/>
        </c:spPr>
      </c:pivotFmt>
      <c:pivotFmt>
        <c:idx val="99"/>
        <c:spPr>
          <a:solidFill>
            <a:schemeClr val="accent1"/>
          </a:solidFill>
          <a:ln>
            <a:noFill/>
          </a:ln>
          <a:effectLst/>
        </c:spPr>
      </c:pivotFmt>
      <c:pivotFmt>
        <c:idx val="100"/>
        <c:spPr>
          <a:solidFill>
            <a:schemeClr val="accent1"/>
          </a:solidFill>
          <a:ln>
            <a:noFill/>
          </a:ln>
          <a:effectLst/>
        </c:spPr>
      </c:pivotFmt>
      <c:pivotFmt>
        <c:idx val="101"/>
        <c:spPr>
          <a:solidFill>
            <a:schemeClr val="accent1"/>
          </a:solidFill>
          <a:ln>
            <a:noFill/>
          </a:ln>
          <a:effectLst/>
        </c:spPr>
      </c:pivotFmt>
      <c:pivotFmt>
        <c:idx val="102"/>
        <c:spPr>
          <a:solidFill>
            <a:schemeClr val="accent1"/>
          </a:solidFill>
          <a:ln>
            <a:noFill/>
          </a:ln>
          <a:effectLst/>
        </c:spPr>
      </c:pivotFmt>
      <c:pivotFmt>
        <c:idx val="103"/>
        <c:spPr>
          <a:solidFill>
            <a:schemeClr val="accent1"/>
          </a:solidFill>
          <a:ln>
            <a:noFill/>
          </a:ln>
          <a:effectLst/>
        </c:spPr>
      </c:pivotFmt>
      <c:pivotFmt>
        <c:idx val="104"/>
        <c:spPr>
          <a:solidFill>
            <a:schemeClr val="accent1"/>
          </a:solidFill>
          <a:ln>
            <a:noFill/>
          </a:ln>
          <a:effectLst/>
        </c:spPr>
      </c:pivotFmt>
      <c:pivotFmt>
        <c:idx val="105"/>
        <c:spPr>
          <a:solidFill>
            <a:schemeClr val="accent1"/>
          </a:solidFill>
          <a:ln>
            <a:noFill/>
          </a:ln>
          <a:effectLst/>
        </c:spPr>
      </c:pivotFmt>
      <c:pivotFmt>
        <c:idx val="106"/>
        <c:spPr>
          <a:solidFill>
            <a:schemeClr val="accent1"/>
          </a:solidFill>
          <a:ln>
            <a:noFill/>
          </a:ln>
          <a:effectLst/>
        </c:spPr>
      </c:pivotFmt>
      <c:pivotFmt>
        <c:idx val="107"/>
        <c:spPr>
          <a:solidFill>
            <a:schemeClr val="accent1"/>
          </a:solidFill>
          <a:ln>
            <a:noFill/>
          </a:ln>
          <a:effectLst/>
        </c:spPr>
      </c:pivotFmt>
      <c:pivotFmt>
        <c:idx val="108"/>
        <c:spPr>
          <a:solidFill>
            <a:schemeClr val="accent1"/>
          </a:solidFill>
          <a:ln>
            <a:noFill/>
          </a:ln>
          <a:effectLst/>
        </c:spPr>
      </c:pivotFmt>
      <c:pivotFmt>
        <c:idx val="109"/>
        <c:spPr>
          <a:solidFill>
            <a:schemeClr val="accent1"/>
          </a:solidFill>
          <a:ln>
            <a:noFill/>
          </a:ln>
          <a:effectLst/>
        </c:spPr>
      </c:pivotFmt>
      <c:pivotFmt>
        <c:idx val="110"/>
        <c:spPr>
          <a:solidFill>
            <a:schemeClr val="accent1"/>
          </a:solidFill>
          <a:ln>
            <a:noFill/>
          </a:ln>
          <a:effectLst/>
        </c:spPr>
      </c:pivotFmt>
      <c:pivotFmt>
        <c:idx val="111"/>
        <c:spPr>
          <a:solidFill>
            <a:schemeClr val="accent1"/>
          </a:solidFill>
          <a:ln>
            <a:noFill/>
          </a:ln>
          <a:effectLst/>
        </c:spPr>
      </c:pivotFmt>
      <c:pivotFmt>
        <c:idx val="112"/>
        <c:spPr>
          <a:solidFill>
            <a:schemeClr val="accent1"/>
          </a:solidFill>
          <a:ln>
            <a:noFill/>
          </a:ln>
          <a:effectLst/>
        </c:spPr>
      </c:pivotFmt>
      <c:pivotFmt>
        <c:idx val="113"/>
        <c:spPr>
          <a:solidFill>
            <a:schemeClr val="accent1"/>
          </a:solidFill>
          <a:ln>
            <a:noFill/>
          </a:ln>
          <a:effectLst/>
        </c:spPr>
      </c:pivotFmt>
      <c:pivotFmt>
        <c:idx val="114"/>
        <c:spPr>
          <a:solidFill>
            <a:schemeClr val="accent1"/>
          </a:solidFill>
          <a:ln>
            <a:noFill/>
          </a:ln>
          <a:effectLst/>
        </c:spPr>
      </c:pivotFmt>
      <c:pivotFmt>
        <c:idx val="115"/>
        <c:spPr>
          <a:solidFill>
            <a:schemeClr val="accent1"/>
          </a:solidFill>
          <a:ln>
            <a:noFill/>
          </a:ln>
          <a:effectLst/>
        </c:spPr>
      </c:pivotFmt>
      <c:pivotFmt>
        <c:idx val="116"/>
        <c:spPr>
          <a:solidFill>
            <a:schemeClr val="accent1"/>
          </a:solidFill>
          <a:ln>
            <a:noFill/>
          </a:ln>
          <a:effectLst/>
        </c:spPr>
      </c:pivotFmt>
      <c:pivotFmt>
        <c:idx val="117"/>
        <c:spPr>
          <a:solidFill>
            <a:schemeClr val="accent1"/>
          </a:solidFill>
          <a:ln>
            <a:noFill/>
          </a:ln>
          <a:effectLst/>
        </c:spPr>
      </c:pivotFmt>
      <c:pivotFmt>
        <c:idx val="118"/>
        <c:spPr>
          <a:solidFill>
            <a:schemeClr val="accent1"/>
          </a:solidFill>
          <a:ln>
            <a:noFill/>
          </a:ln>
          <a:effectLst/>
        </c:spPr>
      </c:pivotFmt>
      <c:pivotFmt>
        <c:idx val="119"/>
        <c:spPr>
          <a:solidFill>
            <a:schemeClr val="accent1"/>
          </a:solidFill>
          <a:ln>
            <a:noFill/>
          </a:ln>
          <a:effectLst/>
        </c:spPr>
      </c:pivotFmt>
      <c:pivotFmt>
        <c:idx val="120"/>
        <c:spPr>
          <a:solidFill>
            <a:schemeClr val="accent1"/>
          </a:solidFill>
          <a:ln>
            <a:noFill/>
          </a:ln>
          <a:effectLst/>
        </c:spPr>
      </c:pivotFmt>
      <c:pivotFmt>
        <c:idx val="121"/>
        <c:spPr>
          <a:solidFill>
            <a:schemeClr val="accent1"/>
          </a:solidFill>
          <a:ln>
            <a:noFill/>
          </a:ln>
          <a:effectLst/>
        </c:spPr>
      </c:pivotFmt>
      <c:pivotFmt>
        <c:idx val="122"/>
        <c:spPr>
          <a:solidFill>
            <a:schemeClr val="accent1"/>
          </a:solidFill>
          <a:ln>
            <a:noFill/>
          </a:ln>
          <a:effectLst/>
        </c:spPr>
      </c:pivotFmt>
      <c:pivotFmt>
        <c:idx val="123"/>
        <c:spPr>
          <a:solidFill>
            <a:schemeClr val="accent1"/>
          </a:solidFill>
          <a:ln>
            <a:noFill/>
          </a:ln>
          <a:effectLst/>
        </c:spPr>
      </c:pivotFmt>
      <c:pivotFmt>
        <c:idx val="124"/>
        <c:spPr>
          <a:solidFill>
            <a:schemeClr val="accent1"/>
          </a:solidFill>
          <a:ln>
            <a:noFill/>
          </a:ln>
          <a:effectLst/>
        </c:spPr>
      </c:pivotFmt>
      <c:pivotFmt>
        <c:idx val="125"/>
        <c:spPr>
          <a:solidFill>
            <a:schemeClr val="accent1"/>
          </a:solidFill>
          <a:ln>
            <a:noFill/>
          </a:ln>
          <a:effectLst/>
        </c:spPr>
      </c:pivotFmt>
      <c:pivotFmt>
        <c:idx val="126"/>
        <c:spPr>
          <a:solidFill>
            <a:schemeClr val="accent1"/>
          </a:solidFill>
          <a:ln>
            <a:noFill/>
          </a:ln>
          <a:effectLst/>
        </c:spPr>
      </c:pivotFmt>
      <c:pivotFmt>
        <c:idx val="127"/>
        <c:spPr>
          <a:solidFill>
            <a:schemeClr val="accent1"/>
          </a:solidFill>
          <a:ln>
            <a:noFill/>
          </a:ln>
          <a:effectLst/>
        </c:spPr>
      </c:pivotFmt>
      <c:pivotFmt>
        <c:idx val="128"/>
        <c:spPr>
          <a:solidFill>
            <a:schemeClr val="accent1"/>
          </a:solidFill>
          <a:ln>
            <a:noFill/>
          </a:ln>
          <a:effectLst/>
        </c:spPr>
      </c:pivotFmt>
      <c:pivotFmt>
        <c:idx val="129"/>
        <c:spPr>
          <a:solidFill>
            <a:schemeClr val="accent1"/>
          </a:solidFill>
          <a:ln>
            <a:noFill/>
          </a:ln>
          <a:effectLst/>
        </c:spPr>
      </c:pivotFmt>
      <c:pivotFmt>
        <c:idx val="130"/>
        <c:spPr>
          <a:solidFill>
            <a:schemeClr val="accent1"/>
          </a:solidFill>
          <a:ln>
            <a:noFill/>
          </a:ln>
          <a:effectLst/>
        </c:spPr>
      </c:pivotFmt>
      <c:pivotFmt>
        <c:idx val="131"/>
        <c:spPr>
          <a:solidFill>
            <a:schemeClr val="accent1"/>
          </a:solidFill>
          <a:ln>
            <a:noFill/>
          </a:ln>
          <a:effectLst/>
        </c:spPr>
      </c:pivotFmt>
      <c:pivotFmt>
        <c:idx val="132"/>
        <c:spPr>
          <a:solidFill>
            <a:schemeClr val="accent1"/>
          </a:solidFill>
          <a:ln>
            <a:noFill/>
          </a:ln>
          <a:effectLst/>
        </c:spPr>
      </c:pivotFmt>
      <c:pivotFmt>
        <c:idx val="133"/>
        <c:spPr>
          <a:solidFill>
            <a:schemeClr val="accent1"/>
          </a:solidFill>
          <a:ln>
            <a:noFill/>
          </a:ln>
          <a:effectLst/>
        </c:spPr>
      </c:pivotFmt>
      <c:pivotFmt>
        <c:idx val="134"/>
        <c:spPr>
          <a:solidFill>
            <a:schemeClr val="accent1"/>
          </a:solidFill>
          <a:ln>
            <a:noFill/>
          </a:ln>
          <a:effectLst/>
        </c:spPr>
      </c:pivotFmt>
      <c:pivotFmt>
        <c:idx val="135"/>
        <c:spPr>
          <a:solidFill>
            <a:schemeClr val="accent1"/>
          </a:solidFill>
          <a:ln>
            <a:noFill/>
          </a:ln>
          <a:effectLst/>
        </c:spPr>
      </c:pivotFmt>
      <c:pivotFmt>
        <c:idx val="136"/>
        <c:spPr>
          <a:solidFill>
            <a:schemeClr val="accent1"/>
          </a:solidFill>
          <a:ln>
            <a:noFill/>
          </a:ln>
          <a:effectLst/>
        </c:spPr>
      </c:pivotFmt>
      <c:pivotFmt>
        <c:idx val="137"/>
        <c:spPr>
          <a:solidFill>
            <a:schemeClr val="accent1"/>
          </a:solidFill>
          <a:ln>
            <a:noFill/>
          </a:ln>
          <a:effectLst/>
        </c:spPr>
      </c:pivotFmt>
      <c:pivotFmt>
        <c:idx val="138"/>
        <c:spPr>
          <a:solidFill>
            <a:schemeClr val="accent1"/>
          </a:solidFill>
          <a:ln>
            <a:noFill/>
          </a:ln>
          <a:effectLst/>
        </c:spPr>
      </c:pivotFmt>
      <c:pivotFmt>
        <c:idx val="139"/>
        <c:spPr>
          <a:solidFill>
            <a:schemeClr val="accent1"/>
          </a:solidFill>
          <a:ln>
            <a:noFill/>
          </a:ln>
          <a:effectLst/>
        </c:spPr>
      </c:pivotFmt>
      <c:pivotFmt>
        <c:idx val="140"/>
        <c:spPr>
          <a:solidFill>
            <a:schemeClr val="accent1"/>
          </a:solidFill>
          <a:ln>
            <a:noFill/>
          </a:ln>
          <a:effectLst/>
        </c:spPr>
      </c:pivotFmt>
      <c:pivotFmt>
        <c:idx val="141"/>
        <c:spPr>
          <a:solidFill>
            <a:schemeClr val="accent1"/>
          </a:solidFill>
          <a:ln>
            <a:noFill/>
          </a:ln>
          <a:effectLst/>
        </c:spPr>
      </c:pivotFmt>
      <c:pivotFmt>
        <c:idx val="142"/>
        <c:spPr>
          <a:solidFill>
            <a:schemeClr val="accent1"/>
          </a:solidFill>
          <a:ln>
            <a:noFill/>
          </a:ln>
          <a:effectLst/>
        </c:spPr>
      </c:pivotFmt>
      <c:pivotFmt>
        <c:idx val="143"/>
        <c:spPr>
          <a:solidFill>
            <a:schemeClr val="accent1"/>
          </a:solidFill>
          <a:ln>
            <a:noFill/>
          </a:ln>
          <a:effectLst/>
        </c:spPr>
      </c:pivotFmt>
      <c:pivotFmt>
        <c:idx val="144"/>
        <c:spPr>
          <a:solidFill>
            <a:schemeClr val="accent1"/>
          </a:solidFill>
          <a:ln>
            <a:noFill/>
          </a:ln>
          <a:effectLst/>
        </c:spPr>
      </c:pivotFmt>
      <c:pivotFmt>
        <c:idx val="145"/>
        <c:spPr>
          <a:solidFill>
            <a:schemeClr val="accent1"/>
          </a:solidFill>
          <a:ln>
            <a:noFill/>
          </a:ln>
          <a:effectLst/>
        </c:spPr>
      </c:pivotFmt>
      <c:pivotFmt>
        <c:idx val="14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47"/>
        <c:spPr>
          <a:solidFill>
            <a:schemeClr val="accent1"/>
          </a:solidFill>
          <a:ln>
            <a:noFill/>
          </a:ln>
          <a:effectLst/>
        </c:spPr>
      </c:pivotFmt>
      <c:pivotFmt>
        <c:idx val="148"/>
        <c:spPr>
          <a:solidFill>
            <a:schemeClr val="accent1"/>
          </a:solidFill>
          <a:ln>
            <a:noFill/>
          </a:ln>
          <a:effectLst/>
        </c:spPr>
      </c:pivotFmt>
      <c:pivotFmt>
        <c:idx val="14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50"/>
        <c:spPr>
          <a:solidFill>
            <a:schemeClr val="accent1"/>
          </a:solidFill>
          <a:ln>
            <a:noFill/>
          </a:ln>
          <a:effectLst/>
        </c:spPr>
      </c:pivotFmt>
      <c:pivotFmt>
        <c:idx val="151"/>
        <c:spPr>
          <a:solidFill>
            <a:schemeClr val="accent1"/>
          </a:solidFill>
          <a:ln>
            <a:noFill/>
          </a:ln>
          <a:effectLst/>
        </c:spPr>
      </c:pivotFmt>
      <c:pivotFmt>
        <c:idx val="152"/>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53"/>
        <c:spPr>
          <a:solidFill>
            <a:schemeClr val="accent1"/>
          </a:solidFill>
          <a:ln>
            <a:noFill/>
          </a:ln>
          <a:effectLst/>
        </c:spPr>
      </c:pivotFmt>
      <c:pivotFmt>
        <c:idx val="154"/>
        <c:spPr>
          <a:solidFill>
            <a:schemeClr val="accent2"/>
          </a:solidFill>
          <a:ln>
            <a:noFill/>
          </a:ln>
          <a:effectLst/>
        </c:spPr>
      </c:pivotFmt>
      <c:pivotFmt>
        <c:idx val="155"/>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56"/>
        <c:spPr>
          <a:solidFill>
            <a:schemeClr val="accent1"/>
          </a:solidFill>
          <a:ln>
            <a:noFill/>
          </a:ln>
          <a:effectLst/>
        </c:spPr>
      </c:pivotFmt>
      <c:pivotFmt>
        <c:idx val="157"/>
        <c:spPr>
          <a:solidFill>
            <a:schemeClr val="accent2"/>
          </a:solidFill>
          <a:ln>
            <a:noFill/>
          </a:ln>
          <a:effectLst/>
        </c:spPr>
      </c:pivotFmt>
      <c:pivotFmt>
        <c:idx val="158"/>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1"/>
          <c:showVal val="1"/>
          <c:showCatName val="1"/>
          <c:showSerName val="1"/>
          <c:showPercent val="1"/>
          <c:showBubbleSize val="1"/>
          <c:extLst>
            <c:ext xmlns:c15="http://schemas.microsoft.com/office/drawing/2012/chart" uri="{CE6537A1-D6FC-4f65-9D91-7224C49458BB}"/>
          </c:extLst>
        </c:dLbl>
      </c:pivotFmt>
      <c:pivotFmt>
        <c:idx val="159"/>
        <c:spPr>
          <a:solidFill>
            <a:schemeClr val="accent1"/>
          </a:solidFill>
          <a:ln>
            <a:noFill/>
          </a:ln>
          <a:effectLst/>
        </c:spPr>
      </c:pivotFmt>
      <c:pivotFmt>
        <c:idx val="160"/>
        <c:spPr>
          <a:solidFill>
            <a:schemeClr val="accent2"/>
          </a:solidFill>
          <a:ln>
            <a:noFill/>
          </a:ln>
          <a:effectLst/>
        </c:spPr>
      </c:pivotFmt>
      <c:pivotFmt>
        <c:idx val="161"/>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1"/>
          <c:showBubbleSize val="0"/>
          <c:extLst>
            <c:ext xmlns:c15="http://schemas.microsoft.com/office/drawing/2012/chart" uri="{CE6537A1-D6FC-4f65-9D91-7224C49458BB}"/>
          </c:extLst>
        </c:dLbl>
      </c:pivotFmt>
      <c:pivotFmt>
        <c:idx val="162"/>
        <c:spPr>
          <a:solidFill>
            <a:schemeClr val="accent1"/>
          </a:solidFill>
          <a:ln>
            <a:noFill/>
          </a:ln>
          <a:effectLst/>
        </c:spPr>
      </c:pivotFmt>
      <c:pivotFmt>
        <c:idx val="163"/>
        <c:spPr>
          <a:solidFill>
            <a:schemeClr val="accent2"/>
          </a:solidFill>
          <a:ln>
            <a:noFill/>
          </a:ln>
          <a:effectLst/>
        </c:spPr>
      </c:pivotFmt>
      <c:pivotFmt>
        <c:idx val="164"/>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65"/>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66"/>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67"/>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68"/>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69"/>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0"/>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1"/>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2"/>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3"/>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4"/>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5"/>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6"/>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7"/>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8"/>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79"/>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0"/>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1"/>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2"/>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3"/>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4"/>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5"/>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6"/>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7"/>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8"/>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89"/>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90"/>
        <c:marker>
          <c:symbol val="none"/>
        </c:marker>
        <c:dLbl>
          <c:idx val="0"/>
          <c:showLegendKey val="0"/>
          <c:showVal val="1"/>
          <c:showCatName val="0"/>
          <c:showSerName val="0"/>
          <c:showPercent val="1"/>
          <c:showBubbleSize val="0"/>
          <c:extLst>
            <c:ext xmlns:c15="http://schemas.microsoft.com/office/drawing/2012/chart" uri="{CE6537A1-D6FC-4f65-9D91-7224C49458BB}"/>
          </c:extLst>
        </c:dLbl>
      </c:pivotFmt>
      <c:pivotFmt>
        <c:idx val="191"/>
        <c:spPr>
          <a:solidFill>
            <a:srgbClr val="C6DFBB"/>
          </a:solidFill>
        </c:spPr>
      </c:pivotFmt>
      <c:pivotFmt>
        <c:idx val="192"/>
        <c:spPr>
          <a:solidFill>
            <a:srgbClr val="B4656F"/>
          </a:solidFill>
        </c:spPr>
      </c:pivotFmt>
      <c:pivotFmt>
        <c:idx val="193"/>
        <c:spPr>
          <a:solidFill>
            <a:srgbClr val="A8D08D"/>
          </a:solidFill>
        </c:spPr>
      </c:pivotFmt>
      <c:pivotFmt>
        <c:idx val="194"/>
        <c:spPr>
          <a:solidFill>
            <a:srgbClr val="B4656F"/>
          </a:solidFill>
        </c:spPr>
        <c:marker>
          <c:symbol val="none"/>
        </c:marker>
        <c:dLbl>
          <c:idx val="0"/>
          <c:spPr>
            <a:noFill/>
            <a:ln>
              <a:noFill/>
            </a:ln>
            <a:effectLst/>
          </c:spPr>
          <c:txPr>
            <a:bodyPr wrap="square" lIns="38100" tIns="19050" rIns="38100" bIns="19050" anchor="ctr">
              <a:spAutoFit/>
            </a:bodyPr>
            <a:lstStyle/>
            <a:p>
              <a:pPr>
                <a:defRPr sz="1800" b="1"/>
              </a:pPr>
              <a:endParaRPr lang="nl-NL"/>
            </a:p>
          </c:txPr>
          <c:showLegendKey val="0"/>
          <c:showVal val="1"/>
          <c:showCatName val="0"/>
          <c:showSerName val="0"/>
          <c:showPercent val="1"/>
          <c:showBubbleSize val="0"/>
          <c:extLst>
            <c:ext xmlns:c15="http://schemas.microsoft.com/office/drawing/2012/chart" uri="{CE6537A1-D6FC-4f65-9D91-7224C49458BB}"/>
          </c:extLst>
        </c:dLbl>
      </c:pivotFmt>
      <c:pivotFmt>
        <c:idx val="195"/>
        <c:spPr>
          <a:solidFill>
            <a:srgbClr val="C6DFBB"/>
          </a:solidFill>
        </c:spPr>
      </c:pivotFmt>
      <c:pivotFmt>
        <c:idx val="196"/>
        <c:spPr>
          <a:solidFill>
            <a:srgbClr val="A8D08D"/>
          </a:solidFill>
        </c:spPr>
      </c:pivotFmt>
    </c:pivotFmts>
    <c:plotArea>
      <c:layout/>
      <c:doughnutChart>
        <c:varyColors val="1"/>
        <c:ser>
          <c:idx val="0"/>
          <c:order val="0"/>
          <c:tx>
            <c:strRef>
              <c:f>Pivots!$C$77</c:f>
              <c:strCache>
                <c:ptCount val="1"/>
                <c:pt idx="0">
                  <c:v>Total</c:v>
                </c:pt>
              </c:strCache>
            </c:strRef>
          </c:tx>
          <c:spPr>
            <a:solidFill>
              <a:srgbClr val="B4656F"/>
            </a:solidFill>
          </c:spPr>
          <c:dPt>
            <c:idx val="0"/>
            <c:bubble3D val="0"/>
            <c:spPr>
              <a:solidFill>
                <a:srgbClr val="A8D08D"/>
              </a:solidFill>
            </c:spPr>
            <c:extLst>
              <c:ext xmlns:c16="http://schemas.microsoft.com/office/drawing/2014/chart" uri="{C3380CC4-5D6E-409C-BE32-E72D297353CC}">
                <c16:uniqueId val="{00000009-1EBA-47B2-A9F4-88A62B56F981}"/>
              </c:ext>
            </c:extLst>
          </c:dPt>
          <c:dPt>
            <c:idx val="1"/>
            <c:bubble3D val="0"/>
            <c:spPr>
              <a:solidFill>
                <a:srgbClr val="C6DFBB"/>
              </a:solidFill>
            </c:spPr>
            <c:extLst>
              <c:ext xmlns:c16="http://schemas.microsoft.com/office/drawing/2014/chart" uri="{C3380CC4-5D6E-409C-BE32-E72D297353CC}">
                <c16:uniqueId val="{00000008-1EBA-47B2-A9F4-88A62B56F981}"/>
              </c:ext>
            </c:extLst>
          </c:dPt>
          <c:dLbls>
            <c:spPr>
              <a:noFill/>
              <a:ln>
                <a:noFill/>
              </a:ln>
              <a:effectLst/>
            </c:spPr>
            <c:txPr>
              <a:bodyPr wrap="square" lIns="38100" tIns="19050" rIns="38100" bIns="19050" anchor="ctr">
                <a:spAutoFit/>
              </a:bodyPr>
              <a:lstStyle/>
              <a:p>
                <a:pPr>
                  <a:defRPr sz="1800" b="1"/>
                </a:pPr>
                <a:endParaRPr lang="nl-NL"/>
              </a:p>
            </c:txPr>
            <c:showLegendKey val="0"/>
            <c:showVal val="1"/>
            <c:showCatName val="0"/>
            <c:showSerName val="0"/>
            <c:showPercent val="1"/>
            <c:showBubbleSize val="0"/>
            <c:showLeaderLines val="1"/>
            <c:extLst>
              <c:ext xmlns:c15="http://schemas.microsoft.com/office/drawing/2012/chart" uri="{CE6537A1-D6FC-4f65-9D91-7224C49458BB}"/>
            </c:extLst>
          </c:dLbls>
          <c:cat>
            <c:strRef>
              <c:f>Pivots!$B$78:$B$81</c:f>
              <c:strCache>
                <c:ptCount val="3"/>
                <c:pt idx="0">
                  <c:v>Recycled / Second Hand</c:v>
                </c:pt>
                <c:pt idx="1">
                  <c:v>Virgin - Bio-based</c:v>
                </c:pt>
                <c:pt idx="2">
                  <c:v>Virgin</c:v>
                </c:pt>
              </c:strCache>
            </c:strRef>
          </c:cat>
          <c:val>
            <c:numRef>
              <c:f>Pivots!$C$78:$C$81</c:f>
              <c:numCache>
                <c:formatCode>General</c:formatCode>
                <c:ptCount val="3"/>
                <c:pt idx="0">
                  <c:v>0</c:v>
                </c:pt>
                <c:pt idx="1">
                  <c:v>0</c:v>
                </c:pt>
                <c:pt idx="2">
                  <c:v>0</c:v>
                </c:pt>
              </c:numCache>
            </c:numRef>
          </c:val>
          <c:extLst>
            <c:ext xmlns:c16="http://schemas.microsoft.com/office/drawing/2014/chart" uri="{C3380CC4-5D6E-409C-BE32-E72D297353CC}">
              <c16:uniqueId val="{00000006-1EBA-47B2-A9F4-88A62B56F981}"/>
            </c:ext>
          </c:extLst>
        </c:ser>
        <c:dLbls>
          <c:showLegendKey val="0"/>
          <c:showVal val="0"/>
          <c:showCatName val="0"/>
          <c:showSerName val="0"/>
          <c:showPercent val="0"/>
          <c:showBubbleSize val="0"/>
          <c:showLeaderLines val="1"/>
        </c:dLbls>
        <c:firstSliceAng val="0"/>
        <c:holeSize val="50"/>
      </c:doughnutChart>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chart>
  <c:spPr>
    <a:solidFill>
      <a:schemeClr val="bg1">
        <a:lumMod val="95000"/>
      </a:schemeClr>
    </a:solidFill>
  </c:spPr>
  <c:txPr>
    <a:bodyPr/>
    <a:lstStyle/>
    <a:p>
      <a:pPr>
        <a:defRPr/>
      </a:pPr>
      <a:endParaRPr lang="nl-NL"/>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(2026).xlsx]Pivots!PivotTable5</c:name>
    <c:fmtId val="1"/>
  </c:pivotSource>
  <c:chart>
    <c:title>
      <c:tx>
        <c:rich>
          <a:bodyPr rot="0" spcFirstLastPara="1" vertOverflow="ellipsis" vert="horz" wrap="square" anchor="ctr" anchorCtr="1"/>
          <a:lstStyle/>
          <a:p>
            <a:pPr algn="ctr" rtl="0">
              <a:defRPr lang="en-US" sz="2800" b="1" i="0" u="none" strike="noStrike" kern="1200" cap="all" spc="50" baseline="0">
                <a:solidFill>
                  <a:srgbClr val="000000">
                    <a:lumMod val="65000"/>
                    <a:lumOff val="35000"/>
                  </a:srgbClr>
                </a:solidFill>
                <a:latin typeface="+mn-lt"/>
                <a:ea typeface="+mn-ea"/>
                <a:cs typeface="+mn-cs"/>
              </a:defRPr>
            </a:pPr>
            <a:r>
              <a:rPr lang="en-US" sz="2800" b="1" i="0" u="none" strike="noStrike" kern="1200" cap="all" spc="50" baseline="0">
                <a:solidFill>
                  <a:srgbClr val="000000">
                    <a:lumMod val="65000"/>
                    <a:lumOff val="35000"/>
                  </a:srgbClr>
                </a:solidFill>
                <a:latin typeface="+mn-lt"/>
                <a:ea typeface="+mn-ea"/>
                <a:cs typeface="+mn-cs"/>
              </a:rPr>
              <a:t>End-of-life materials </a:t>
            </a:r>
            <a:r>
              <a:rPr lang="en-US" sz="1800" b="1" i="0" u="none" strike="noStrike" kern="1200" cap="all" spc="50" baseline="0">
                <a:solidFill>
                  <a:srgbClr val="000000">
                    <a:lumMod val="65000"/>
                    <a:lumOff val="35000"/>
                  </a:srgbClr>
                </a:solidFill>
                <a:latin typeface="+mn-lt"/>
                <a:ea typeface="+mn-ea"/>
                <a:cs typeface="+mn-cs"/>
              </a:rPr>
              <a:t>(kg)</a:t>
            </a:r>
            <a:endParaRPr lang="en-US" sz="2800" b="1" i="0" u="none" strike="noStrike" kern="1200" cap="all" spc="50" baseline="0">
              <a:solidFill>
                <a:srgbClr val="000000">
                  <a:lumMod val="65000"/>
                  <a:lumOff val="35000"/>
                </a:srgbClr>
              </a:solidFill>
              <a:latin typeface="+mn-lt"/>
              <a:ea typeface="+mn-ea"/>
              <a:cs typeface="+mn-cs"/>
            </a:endParaRPr>
          </a:p>
        </c:rich>
      </c:tx>
      <c:overlay val="0"/>
      <c:spPr>
        <a:noFill/>
        <a:ln>
          <a:noFill/>
        </a:ln>
        <a:effectLst/>
      </c:spPr>
      <c:txPr>
        <a:bodyPr rot="0" spcFirstLastPara="1" vertOverflow="ellipsis" vert="horz" wrap="square" anchor="ctr" anchorCtr="1"/>
        <a:lstStyle/>
        <a:p>
          <a:pPr algn="ctr" rtl="0">
            <a:defRPr lang="en-US" sz="2800" b="1" i="0" u="none" strike="noStrike" kern="1200" cap="all" spc="50" baseline="0">
              <a:solidFill>
                <a:srgbClr val="000000">
                  <a:lumMod val="65000"/>
                  <a:lumOff val="35000"/>
                </a:srgb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rgbClr val="A8D08D"/>
          </a:solidFill>
          <a:ln>
            <a:noFill/>
          </a:ln>
          <a:effectLst/>
        </c:spPr>
      </c:pivotFmt>
      <c:pivotFmt>
        <c:idx val="3"/>
        <c:spPr>
          <a:solidFill>
            <a:srgbClr val="B4656F"/>
          </a:solidFill>
          <a:ln>
            <a:noFill/>
          </a:ln>
          <a:effectLst/>
        </c:spP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1"/>
          <c:showBubbleSize val="0"/>
          <c:extLst>
            <c:ext xmlns:c15="http://schemas.microsoft.com/office/drawing/2012/chart" uri="{CE6537A1-D6FC-4f65-9D91-7224C49458BB}"/>
          </c:extLst>
        </c:dLbl>
      </c:pivotFmt>
      <c:pivotFmt>
        <c:idx val="5"/>
        <c:spPr>
          <a:solidFill>
            <a:srgbClr val="B4656F"/>
          </a:solidFill>
          <a:ln>
            <a:noFill/>
          </a:ln>
          <a:effectLst/>
        </c:spPr>
      </c:pivotFmt>
      <c:pivotFmt>
        <c:idx val="6"/>
        <c:spPr>
          <a:solidFill>
            <a:srgbClr val="A8D08D"/>
          </a:solidFill>
          <a:ln>
            <a:noFill/>
          </a:ln>
          <a:effectLst/>
        </c:spPr>
      </c:pivotFmt>
    </c:pivotFmts>
    <c:plotArea>
      <c:layout/>
      <c:doughnutChart>
        <c:varyColors val="1"/>
        <c:ser>
          <c:idx val="0"/>
          <c:order val="0"/>
          <c:tx>
            <c:strRef>
              <c:f>Pivots!$C$102</c:f>
              <c:strCache>
                <c:ptCount val="1"/>
                <c:pt idx="0">
                  <c:v>Total</c:v>
                </c:pt>
              </c:strCache>
            </c:strRef>
          </c:tx>
          <c:dPt>
            <c:idx val="0"/>
            <c:bubble3D val="0"/>
            <c:spPr>
              <a:solidFill>
                <a:srgbClr val="A8D08D"/>
              </a:solidFill>
              <a:ln>
                <a:noFill/>
              </a:ln>
              <a:effectLst/>
            </c:spPr>
            <c:extLst>
              <c:ext xmlns:c16="http://schemas.microsoft.com/office/drawing/2014/chart" uri="{C3380CC4-5D6E-409C-BE32-E72D297353CC}">
                <c16:uniqueId val="{00000007-C1FE-4B70-98E0-B646EB767732}"/>
              </c:ext>
            </c:extLst>
          </c:dPt>
          <c:dPt>
            <c:idx val="1"/>
            <c:bubble3D val="0"/>
            <c:spPr>
              <a:solidFill>
                <a:srgbClr val="B4656F"/>
              </a:solidFill>
              <a:ln>
                <a:noFill/>
              </a:ln>
              <a:effectLst/>
            </c:spPr>
            <c:extLst>
              <c:ext xmlns:c16="http://schemas.microsoft.com/office/drawing/2014/chart" uri="{C3380CC4-5D6E-409C-BE32-E72D297353CC}">
                <c16:uniqueId val="{00000006-C1FE-4B70-98E0-B646EB767732}"/>
              </c:ext>
            </c:extLst>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Pivots!$B$103:$B$105</c:f>
              <c:strCache>
                <c:ptCount val="2"/>
                <c:pt idx="0">
                  <c:v>Separated for recycling</c:v>
                </c:pt>
                <c:pt idx="1">
                  <c:v>Residual waste</c:v>
                </c:pt>
              </c:strCache>
            </c:strRef>
          </c:cat>
          <c:val>
            <c:numRef>
              <c:f>Pivots!$C$103:$C$105</c:f>
              <c:numCache>
                <c:formatCode>0</c:formatCode>
                <c:ptCount val="2"/>
                <c:pt idx="0">
                  <c:v>0</c:v>
                </c:pt>
                <c:pt idx="1">
                  <c:v>0</c:v>
                </c:pt>
              </c:numCache>
            </c:numRef>
          </c:val>
          <c:extLst>
            <c:ext xmlns:c16="http://schemas.microsoft.com/office/drawing/2014/chart" uri="{C3380CC4-5D6E-409C-BE32-E72D297353CC}">
              <c16:uniqueId val="{00000004-C1FE-4B70-98E0-B646EB767732}"/>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(2026).xlsx]Pivots!PivotTable8</c:name>
    <c:fmtId val="1"/>
  </c:pivotSource>
  <c:chart>
    <c:title>
      <c:tx>
        <c:rich>
          <a:bodyPr rot="0" spcFirstLastPara="1" vertOverflow="ellipsis" vert="horz" wrap="square" anchor="ctr" anchorCtr="1"/>
          <a:lstStyle/>
          <a:p>
            <a:pPr algn="ctr" rtl="0">
              <a:defRPr lang="nl-NL" sz="2800" b="1" i="0" u="none" strike="noStrike" kern="1200" cap="all" spc="50" baseline="0">
                <a:solidFill>
                  <a:srgbClr val="000000">
                    <a:lumMod val="65000"/>
                    <a:lumOff val="35000"/>
                  </a:srgbClr>
                </a:solidFill>
                <a:latin typeface="+mn-lt"/>
                <a:ea typeface="+mn-ea"/>
                <a:cs typeface="+mn-cs"/>
              </a:defRPr>
            </a:pPr>
            <a:r>
              <a:rPr lang="nl-NL" sz="2800" b="1" i="0" u="none" strike="noStrike" kern="1200" cap="all" spc="50" baseline="0">
                <a:solidFill>
                  <a:srgbClr val="000000">
                    <a:lumMod val="65000"/>
                    <a:lumOff val="35000"/>
                  </a:srgbClr>
                </a:solidFill>
                <a:latin typeface="+mn-lt"/>
                <a:ea typeface="+mn-ea"/>
                <a:cs typeface="+mn-cs"/>
              </a:rPr>
              <a:t>Net CO2-emissions (ton co2-eq)</a:t>
            </a:r>
          </a:p>
        </c:rich>
      </c:tx>
      <c:overlay val="0"/>
      <c:spPr>
        <a:noFill/>
        <a:ln>
          <a:noFill/>
        </a:ln>
        <a:effectLst/>
      </c:spPr>
      <c:txPr>
        <a:bodyPr rot="0" spcFirstLastPara="1" vertOverflow="ellipsis" vert="horz" wrap="square" anchor="ctr" anchorCtr="1"/>
        <a:lstStyle/>
        <a:p>
          <a:pPr algn="ctr" rtl="0">
            <a:defRPr lang="nl-NL" sz="2800" b="1" i="0" u="none" strike="noStrike" kern="1200" cap="all" spc="50" baseline="0">
              <a:solidFill>
                <a:srgbClr val="000000">
                  <a:lumMod val="65000"/>
                  <a:lumOff val="35000"/>
                </a:srgb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4F6D7A"/>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4F6D7A"/>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tx1">
              <a:lumMod val="50000"/>
              <a:lumOff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C6DFB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rgbClr val="A8D08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0">
              <a:spAutoFit/>
            </a:bodyPr>
            <a:lstStyle/>
            <a:p>
              <a:pPr algn="ctr">
                <a:defRPr lang="en-US" sz="1800" b="1"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bg2">
              <a:lumMod val="75000"/>
            </a:schemeClr>
          </a:solidFill>
          <a:ln>
            <a:solidFill>
              <a:schemeClr val="bg2">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0">
              <a:spAutoFit/>
            </a:bodyPr>
            <a:lstStyle/>
            <a:p>
              <a:pPr algn="ctr">
                <a:defRPr lang="en-US" sz="1800" b="1"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0966514886512445E-2"/>
          <c:y val="0.18722632575757575"/>
          <c:w val="0.70499377610033576"/>
          <c:h val="0.6332149621212122"/>
        </c:manualLayout>
      </c:layout>
      <c:barChart>
        <c:barDir val="bar"/>
        <c:grouping val="clustered"/>
        <c:varyColors val="0"/>
        <c:ser>
          <c:idx val="0"/>
          <c:order val="0"/>
          <c:tx>
            <c:strRef>
              <c:f>Pivots!$L$11</c:f>
              <c:strCache>
                <c:ptCount val="1"/>
                <c:pt idx="0">
                  <c:v>Net CO2-emissions</c:v>
                </c:pt>
              </c:strCache>
            </c:strRef>
          </c:tx>
          <c:spPr>
            <a:solidFill>
              <a:schemeClr val="bg2">
                <a:lumMod val="75000"/>
              </a:schemeClr>
            </a:solidFill>
            <a:ln>
              <a:solidFill>
                <a:schemeClr val="bg2">
                  <a:lumMod val="75000"/>
                </a:schemeClr>
              </a:solid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800" b="1"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Pivots!$L$12</c:f>
              <c:strCache>
                <c:ptCount val="1"/>
                <c:pt idx="0">
                  <c:v>Total</c:v>
                </c:pt>
              </c:strCache>
            </c:strRef>
          </c:cat>
          <c:val>
            <c:numRef>
              <c:f>Pivots!$L$12</c:f>
              <c:numCache>
                <c:formatCode>_-* #,##0_-;\-* #,##0_-;_-* "-"??_-;_-@_-</c:formatCode>
                <c:ptCount val="1"/>
                <c:pt idx="0">
                  <c:v>0</c:v>
                </c:pt>
              </c:numCache>
            </c:numRef>
          </c:val>
          <c:extLst>
            <c:ext xmlns:c16="http://schemas.microsoft.com/office/drawing/2014/chart" uri="{C3380CC4-5D6E-409C-BE32-E72D297353CC}">
              <c16:uniqueId val="{0000000F-4CF2-481C-95D1-4625DA94DDAE}"/>
            </c:ext>
          </c:extLst>
        </c:ser>
        <c:ser>
          <c:idx val="1"/>
          <c:order val="1"/>
          <c:tx>
            <c:strRef>
              <c:f>Pivots!$M$11</c:f>
              <c:strCache>
                <c:ptCount val="1"/>
                <c:pt idx="0">
                  <c:v>CO2-Compensation</c:v>
                </c:pt>
              </c:strCache>
            </c:strRef>
          </c:tx>
          <c:spPr>
            <a:solidFill>
              <a:srgbClr val="A8D08D"/>
            </a:solidFill>
            <a:ln>
              <a:solidFill>
                <a:srgbClr val="A8D08D"/>
              </a:solid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800" b="1" i="0" u="none" strike="noStrike" kern="1200" baseline="0">
                    <a:solidFill>
                      <a:schemeClr val="tx1">
                        <a:lumMod val="75000"/>
                        <a:lumOff val="2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Pivots!$L$12</c:f>
              <c:strCache>
                <c:ptCount val="1"/>
                <c:pt idx="0">
                  <c:v>Total</c:v>
                </c:pt>
              </c:strCache>
            </c:strRef>
          </c:cat>
          <c:val>
            <c:numRef>
              <c:f>Pivots!$M$12</c:f>
              <c:numCache>
                <c:formatCode>_-* #,##0_-;\-* #,##0_-;_-* "-"??_-;_-@_-</c:formatCode>
                <c:ptCount val="1"/>
                <c:pt idx="0">
                  <c:v>0</c:v>
                </c:pt>
              </c:numCache>
            </c:numRef>
          </c:val>
          <c:extLst>
            <c:ext xmlns:c16="http://schemas.microsoft.com/office/drawing/2014/chart" uri="{C3380CC4-5D6E-409C-BE32-E72D297353CC}">
              <c16:uniqueId val="{00000000-4FF7-47A5-9973-1B08985066C7}"/>
            </c:ext>
          </c:extLst>
        </c:ser>
        <c:ser>
          <c:idx val="2"/>
          <c:order val="2"/>
          <c:tx>
            <c:strRef>
              <c:f>Pivots!$N$11</c:f>
              <c:strCache>
                <c:ptCount val="1"/>
                <c:pt idx="0">
                  <c:v>Gross CO2-emissions</c:v>
                </c:pt>
              </c:strCache>
            </c:strRef>
          </c:tx>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Pivots!$L$12</c:f>
              <c:strCache>
                <c:ptCount val="1"/>
                <c:pt idx="0">
                  <c:v>Total</c:v>
                </c:pt>
              </c:strCache>
            </c:strRef>
          </c:cat>
          <c:val>
            <c:numRef>
              <c:f>Pivots!$N$12</c:f>
              <c:numCache>
                <c:formatCode>_-* #,##0_-;\-* #,##0_-;_-* "-"??_-;_-@_-</c:formatCode>
                <c:ptCount val="1"/>
                <c:pt idx="0">
                  <c:v>0</c:v>
                </c:pt>
              </c:numCache>
            </c:numRef>
          </c:val>
          <c:extLst>
            <c:ext xmlns:c16="http://schemas.microsoft.com/office/drawing/2014/chart" uri="{C3380CC4-5D6E-409C-BE32-E72D297353CC}">
              <c16:uniqueId val="{00000002-4FF7-47A5-9973-1B08985066C7}"/>
            </c:ext>
          </c:extLst>
        </c:ser>
        <c:dLbls>
          <c:showLegendKey val="0"/>
          <c:showVal val="0"/>
          <c:showCatName val="0"/>
          <c:showSerName val="0"/>
          <c:showPercent val="0"/>
          <c:showBubbleSize val="0"/>
        </c:dLbls>
        <c:gapWidth val="219"/>
        <c:axId val="1058256800"/>
        <c:axId val="1058259680"/>
      </c:barChart>
      <c:catAx>
        <c:axId val="1058256800"/>
        <c:scaling>
          <c:orientation val="minMax"/>
        </c:scaling>
        <c:delete val="1"/>
        <c:axPos val="l"/>
        <c:numFmt formatCode="General" sourceLinked="1"/>
        <c:majorTickMark val="out"/>
        <c:minorTickMark val="none"/>
        <c:tickLblPos val="nextTo"/>
        <c:crossAx val="1058259680"/>
        <c:crosses val="autoZero"/>
        <c:auto val="1"/>
        <c:lblAlgn val="ctr"/>
        <c:lblOffset val="100"/>
        <c:noMultiLvlLbl val="0"/>
      </c:catAx>
      <c:valAx>
        <c:axId val="1058259680"/>
        <c:scaling>
          <c:orientation val="minMax"/>
        </c:scaling>
        <c:delete val="0"/>
        <c:axPos val="b"/>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nl-NL"/>
          </a:p>
        </c:txPr>
        <c:crossAx val="1058256800"/>
        <c:crosses val="autoZero"/>
        <c:crossBetween val="between"/>
      </c:valAx>
      <c:spPr>
        <a:noFill/>
        <a:ln>
          <a:noFill/>
        </a:ln>
        <a:effectLst/>
      </c:spPr>
    </c:plotArea>
    <c:legend>
      <c:legendPos val="r"/>
      <c:layout>
        <c:manualLayout>
          <c:xMode val="edge"/>
          <c:yMode val="edge"/>
          <c:x val="0.75042999064530114"/>
          <c:y val="0.2512386363636363"/>
          <c:w val="0.20886300230474619"/>
          <c:h val="0.3531008050903911"/>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(2026).xlsx]Pivots!PivotTable7</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2800" b="1" i="0" u="none" strike="noStrike" kern="1200" cap="all" spc="50" baseline="0">
                <a:solidFill>
                  <a:srgbClr val="000000">
                    <a:lumMod val="65000"/>
                    <a:lumOff val="35000"/>
                  </a:srgbClr>
                </a:solidFill>
                <a:latin typeface="+mn-lt"/>
                <a:ea typeface="+mn-ea"/>
                <a:cs typeface="+mn-cs"/>
              </a:rPr>
              <a:t>Detailed CO2-overview per category (kg CO2-eq)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3"/>
        <c:spPr>
          <a:solidFill>
            <a:schemeClr val="accent1"/>
          </a:solidFill>
          <a:ln>
            <a:noFill/>
          </a:ln>
          <a:effectLst/>
        </c:spPr>
        <c:marker>
          <c:symbol val="none"/>
        </c:marker>
      </c:pivotFmt>
      <c:pivotFmt>
        <c:idx val="4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118308837427203"/>
          <c:y val="5.1996105483574327E-2"/>
          <c:w val="0.6218445374960001"/>
          <c:h val="0.75647918860469643"/>
        </c:manualLayout>
      </c:layout>
      <c:barChart>
        <c:barDir val="bar"/>
        <c:grouping val="stacked"/>
        <c:varyColors val="0"/>
        <c:ser>
          <c:idx val="0"/>
          <c:order val="0"/>
          <c:tx>
            <c:strRef>
              <c:f>Pivots!$C$130:$C$133</c:f>
              <c:strCache>
                <c:ptCount val="1"/>
                <c:pt idx="0">
                  <c:v>Electricity - Grid - Non-renewable</c:v>
                </c:pt>
              </c:strCache>
            </c:strRef>
          </c:tx>
          <c:spPr>
            <a:solidFill>
              <a:schemeClr val="accent1"/>
            </a:solidFill>
            <a:ln>
              <a:noFill/>
            </a:ln>
            <a:effectLst/>
          </c:spPr>
          <c:invertIfNegative val="0"/>
          <c:cat>
            <c:strRef>
              <c:f>Pivots!$B$134:$B$135</c:f>
              <c:strCache>
                <c:ptCount val="1"/>
                <c:pt idx="0">
                  <c:v>Energy</c:v>
                </c:pt>
              </c:strCache>
            </c:strRef>
          </c:cat>
          <c:val>
            <c:numRef>
              <c:f>Pivots!$C$134:$C$135</c:f>
              <c:numCache>
                <c:formatCode>_-* #,##0_-;\-* #,##0_-;_-* "-"??_-;_-@_-</c:formatCode>
                <c:ptCount val="1"/>
                <c:pt idx="0">
                  <c:v>0</c:v>
                </c:pt>
              </c:numCache>
            </c:numRef>
          </c:val>
          <c:extLst>
            <c:ext xmlns:c16="http://schemas.microsoft.com/office/drawing/2014/chart" uri="{C3380CC4-5D6E-409C-BE32-E72D297353CC}">
              <c16:uniqueId val="{00000000-006E-49AB-BCEA-E055D13C0294}"/>
            </c:ext>
          </c:extLst>
        </c:ser>
        <c:ser>
          <c:idx val="1"/>
          <c:order val="1"/>
          <c:tx>
            <c:strRef>
              <c:f>Pivots!$D$130:$D$133</c:f>
              <c:strCache>
                <c:ptCount val="1"/>
                <c:pt idx="0">
                  <c:v>Electricity - Grid - Renewable</c:v>
                </c:pt>
              </c:strCache>
            </c:strRef>
          </c:tx>
          <c:spPr>
            <a:solidFill>
              <a:schemeClr val="accent2"/>
            </a:solidFill>
            <a:ln>
              <a:noFill/>
            </a:ln>
            <a:effectLst/>
          </c:spPr>
          <c:invertIfNegative val="0"/>
          <c:cat>
            <c:strRef>
              <c:f>Pivots!$B$134:$B$135</c:f>
              <c:strCache>
                <c:ptCount val="1"/>
                <c:pt idx="0">
                  <c:v>Energy</c:v>
                </c:pt>
              </c:strCache>
            </c:strRef>
          </c:cat>
          <c:val>
            <c:numRef>
              <c:f>Pivots!$D$134:$D$135</c:f>
              <c:numCache>
                <c:formatCode>_-* #,##0_-;\-* #,##0_-;_-* "-"??_-;_-@_-</c:formatCode>
                <c:ptCount val="1"/>
                <c:pt idx="0">
                  <c:v>0</c:v>
                </c:pt>
              </c:numCache>
            </c:numRef>
          </c:val>
          <c:extLst>
            <c:ext xmlns:c16="http://schemas.microsoft.com/office/drawing/2014/chart" uri="{C3380CC4-5D6E-409C-BE32-E72D297353CC}">
              <c16:uniqueId val="{0000007D-EF38-4430-92CF-BDDCF0A855A4}"/>
            </c:ext>
          </c:extLst>
        </c:ser>
        <c:ser>
          <c:idx val="2"/>
          <c:order val="2"/>
          <c:tx>
            <c:strRef>
              <c:f>Pivots!$E$130:$E$133</c:f>
              <c:strCache>
                <c:ptCount val="1"/>
                <c:pt idx="0">
                  <c:v>Electricity - Local prod. - Renewable</c:v>
                </c:pt>
              </c:strCache>
            </c:strRef>
          </c:tx>
          <c:spPr>
            <a:solidFill>
              <a:schemeClr val="accent3"/>
            </a:solidFill>
            <a:ln>
              <a:noFill/>
            </a:ln>
            <a:effectLst/>
          </c:spPr>
          <c:invertIfNegative val="0"/>
          <c:cat>
            <c:strRef>
              <c:f>Pivots!$B$134:$B$135</c:f>
              <c:strCache>
                <c:ptCount val="1"/>
                <c:pt idx="0">
                  <c:v>Energy</c:v>
                </c:pt>
              </c:strCache>
            </c:strRef>
          </c:cat>
          <c:val>
            <c:numRef>
              <c:f>Pivots!$E$134:$E$135</c:f>
              <c:numCache>
                <c:formatCode>_-* #,##0_-;\-* #,##0_-;_-* "-"??_-;_-@_-</c:formatCode>
                <c:ptCount val="1"/>
                <c:pt idx="0">
                  <c:v>0</c:v>
                </c:pt>
              </c:numCache>
            </c:numRef>
          </c:val>
          <c:extLst>
            <c:ext xmlns:c16="http://schemas.microsoft.com/office/drawing/2014/chart" uri="{C3380CC4-5D6E-409C-BE32-E72D297353CC}">
              <c16:uniqueId val="{0000007E-EF38-4430-92CF-BDDCF0A855A4}"/>
            </c:ext>
          </c:extLst>
        </c:ser>
        <c:ser>
          <c:idx val="3"/>
          <c:order val="3"/>
          <c:tx>
            <c:strRef>
              <c:f>Pivots!$F$130:$F$133</c:f>
              <c:strCache>
                <c:ptCount val="1"/>
                <c:pt idx="0">
                  <c:v>Electricity - Batteries - Non-renewable</c:v>
                </c:pt>
              </c:strCache>
            </c:strRef>
          </c:tx>
          <c:spPr>
            <a:solidFill>
              <a:schemeClr val="accent4"/>
            </a:solidFill>
            <a:ln>
              <a:noFill/>
            </a:ln>
            <a:effectLst/>
          </c:spPr>
          <c:invertIfNegative val="0"/>
          <c:cat>
            <c:strRef>
              <c:f>Pivots!$B$134:$B$135</c:f>
              <c:strCache>
                <c:ptCount val="1"/>
                <c:pt idx="0">
                  <c:v>Energy</c:v>
                </c:pt>
              </c:strCache>
            </c:strRef>
          </c:cat>
          <c:val>
            <c:numRef>
              <c:f>Pivots!$F$134:$F$135</c:f>
              <c:numCache>
                <c:formatCode>_-* #,##0_-;\-* #,##0_-;_-* "-"??_-;_-@_-</c:formatCode>
                <c:ptCount val="1"/>
                <c:pt idx="0">
                  <c:v>0</c:v>
                </c:pt>
              </c:numCache>
            </c:numRef>
          </c:val>
          <c:extLst>
            <c:ext xmlns:c16="http://schemas.microsoft.com/office/drawing/2014/chart" uri="{C3380CC4-5D6E-409C-BE32-E72D297353CC}">
              <c16:uniqueId val="{0000007F-EF38-4430-92CF-BDDCF0A855A4}"/>
            </c:ext>
          </c:extLst>
        </c:ser>
        <c:ser>
          <c:idx val="4"/>
          <c:order val="4"/>
          <c:tx>
            <c:strRef>
              <c:f>Pivots!$G$130:$G$133</c:f>
              <c:strCache>
                <c:ptCount val="1"/>
                <c:pt idx="0">
                  <c:v>Electricity - Batteries - Renewable</c:v>
                </c:pt>
              </c:strCache>
            </c:strRef>
          </c:tx>
          <c:spPr>
            <a:solidFill>
              <a:schemeClr val="accent5"/>
            </a:solidFill>
            <a:ln>
              <a:noFill/>
            </a:ln>
            <a:effectLst/>
          </c:spPr>
          <c:invertIfNegative val="0"/>
          <c:cat>
            <c:strRef>
              <c:f>Pivots!$B$134:$B$135</c:f>
              <c:strCache>
                <c:ptCount val="1"/>
                <c:pt idx="0">
                  <c:v>Energy</c:v>
                </c:pt>
              </c:strCache>
            </c:strRef>
          </c:cat>
          <c:val>
            <c:numRef>
              <c:f>Pivots!$G$134:$G$135</c:f>
              <c:numCache>
                <c:formatCode>_-* #,##0_-;\-* #,##0_-;_-* "-"??_-;_-@_-</c:formatCode>
                <c:ptCount val="1"/>
                <c:pt idx="0">
                  <c:v>0</c:v>
                </c:pt>
              </c:numCache>
            </c:numRef>
          </c:val>
          <c:extLst>
            <c:ext xmlns:c16="http://schemas.microsoft.com/office/drawing/2014/chart" uri="{C3380CC4-5D6E-409C-BE32-E72D297353CC}">
              <c16:uniqueId val="{00000080-EF38-4430-92CF-BDDCF0A855A4}"/>
            </c:ext>
          </c:extLst>
        </c:ser>
        <c:ser>
          <c:idx val="5"/>
          <c:order val="5"/>
          <c:tx>
            <c:strRef>
              <c:f>Pivots!$H$130:$H$133</c:f>
              <c:strCache>
                <c:ptCount val="1"/>
                <c:pt idx="0">
                  <c:v>Biofuel - Generators - Sustainable</c:v>
                </c:pt>
              </c:strCache>
            </c:strRef>
          </c:tx>
          <c:spPr>
            <a:solidFill>
              <a:schemeClr val="accent6"/>
            </a:solidFill>
            <a:ln>
              <a:noFill/>
            </a:ln>
            <a:effectLst/>
          </c:spPr>
          <c:invertIfNegative val="0"/>
          <c:cat>
            <c:strRef>
              <c:f>Pivots!$B$134:$B$135</c:f>
              <c:strCache>
                <c:ptCount val="1"/>
                <c:pt idx="0">
                  <c:v>Energy</c:v>
                </c:pt>
              </c:strCache>
            </c:strRef>
          </c:cat>
          <c:val>
            <c:numRef>
              <c:f>Pivots!$H$134:$H$135</c:f>
              <c:numCache>
                <c:formatCode>_-* #,##0_-;\-* #,##0_-;_-* "-"??_-;_-@_-</c:formatCode>
                <c:ptCount val="1"/>
                <c:pt idx="0">
                  <c:v>0</c:v>
                </c:pt>
              </c:numCache>
            </c:numRef>
          </c:val>
          <c:extLst>
            <c:ext xmlns:c16="http://schemas.microsoft.com/office/drawing/2014/chart" uri="{C3380CC4-5D6E-409C-BE32-E72D297353CC}">
              <c16:uniqueId val="{00000081-EF38-4430-92CF-BDDCF0A855A4}"/>
            </c:ext>
          </c:extLst>
        </c:ser>
        <c:ser>
          <c:idx val="6"/>
          <c:order val="6"/>
          <c:tx>
            <c:strRef>
              <c:f>Pivots!$I$130:$I$133</c:f>
              <c:strCache>
                <c:ptCount val="1"/>
                <c:pt idx="0">
                  <c:v>Diesel - Generators - Non-sustainable</c:v>
                </c:pt>
              </c:strCache>
            </c:strRef>
          </c:tx>
          <c:spPr>
            <a:solidFill>
              <a:schemeClr val="accent1">
                <a:lumMod val="60000"/>
              </a:schemeClr>
            </a:solidFill>
            <a:ln>
              <a:noFill/>
            </a:ln>
            <a:effectLst/>
          </c:spPr>
          <c:invertIfNegative val="0"/>
          <c:cat>
            <c:strRef>
              <c:f>Pivots!$B$134:$B$135</c:f>
              <c:strCache>
                <c:ptCount val="1"/>
                <c:pt idx="0">
                  <c:v>Energy</c:v>
                </c:pt>
              </c:strCache>
            </c:strRef>
          </c:cat>
          <c:val>
            <c:numRef>
              <c:f>Pivots!$I$134:$I$135</c:f>
              <c:numCache>
                <c:formatCode>_-* #,##0_-;\-* #,##0_-;_-* "-"??_-;_-@_-</c:formatCode>
                <c:ptCount val="1"/>
                <c:pt idx="0">
                  <c:v>0</c:v>
                </c:pt>
              </c:numCache>
            </c:numRef>
          </c:val>
          <c:extLst>
            <c:ext xmlns:c16="http://schemas.microsoft.com/office/drawing/2014/chart" uri="{C3380CC4-5D6E-409C-BE32-E72D297353CC}">
              <c16:uniqueId val="{00000082-EF38-4430-92CF-BDDCF0A855A4}"/>
            </c:ext>
          </c:extLst>
        </c:ser>
        <c:ser>
          <c:idx val="7"/>
          <c:order val="7"/>
          <c:tx>
            <c:strRef>
              <c:f>Pivots!$J$130:$J$133</c:f>
              <c:strCache>
                <c:ptCount val="1"/>
                <c:pt idx="0">
                  <c:v>Biogas - Grid and bottles - Non-sustainable</c:v>
                </c:pt>
              </c:strCache>
            </c:strRef>
          </c:tx>
          <c:spPr>
            <a:solidFill>
              <a:schemeClr val="accent2">
                <a:lumMod val="60000"/>
              </a:schemeClr>
            </a:solidFill>
            <a:ln>
              <a:noFill/>
            </a:ln>
            <a:effectLst/>
          </c:spPr>
          <c:invertIfNegative val="0"/>
          <c:cat>
            <c:strRef>
              <c:f>Pivots!$B$134:$B$135</c:f>
              <c:strCache>
                <c:ptCount val="1"/>
                <c:pt idx="0">
                  <c:v>Energy</c:v>
                </c:pt>
              </c:strCache>
            </c:strRef>
          </c:cat>
          <c:val>
            <c:numRef>
              <c:f>Pivots!$J$134:$J$135</c:f>
              <c:numCache>
                <c:formatCode>_-* #,##0_-;\-* #,##0_-;_-* "-"??_-;_-@_-</c:formatCode>
                <c:ptCount val="1"/>
                <c:pt idx="0">
                  <c:v>0</c:v>
                </c:pt>
              </c:numCache>
            </c:numRef>
          </c:val>
          <c:extLst>
            <c:ext xmlns:c16="http://schemas.microsoft.com/office/drawing/2014/chart" uri="{C3380CC4-5D6E-409C-BE32-E72D297353CC}">
              <c16:uniqueId val="{00000083-EF38-4430-92CF-BDDCF0A855A4}"/>
            </c:ext>
          </c:extLst>
        </c:ser>
        <c:ser>
          <c:idx val="8"/>
          <c:order val="8"/>
          <c:tx>
            <c:strRef>
              <c:f>Pivots!$K$130:$K$133</c:f>
              <c:strCache>
                <c:ptCount val="1"/>
                <c:pt idx="0">
                  <c:v>Natural gas - Grid - Non-sustainable</c:v>
                </c:pt>
              </c:strCache>
            </c:strRef>
          </c:tx>
          <c:spPr>
            <a:solidFill>
              <a:schemeClr val="accent3">
                <a:lumMod val="60000"/>
              </a:schemeClr>
            </a:solidFill>
            <a:ln>
              <a:noFill/>
            </a:ln>
            <a:effectLst/>
          </c:spPr>
          <c:invertIfNegative val="0"/>
          <c:cat>
            <c:strRef>
              <c:f>Pivots!$B$134:$B$135</c:f>
              <c:strCache>
                <c:ptCount val="1"/>
                <c:pt idx="0">
                  <c:v>Energy</c:v>
                </c:pt>
              </c:strCache>
            </c:strRef>
          </c:cat>
          <c:val>
            <c:numRef>
              <c:f>Pivots!$K$134:$K$135</c:f>
              <c:numCache>
                <c:formatCode>_-* #,##0_-;\-* #,##0_-;_-* "-"??_-;_-@_-</c:formatCode>
                <c:ptCount val="1"/>
                <c:pt idx="0">
                  <c:v>0</c:v>
                </c:pt>
              </c:numCache>
            </c:numRef>
          </c:val>
          <c:extLst>
            <c:ext xmlns:c16="http://schemas.microsoft.com/office/drawing/2014/chart" uri="{C3380CC4-5D6E-409C-BE32-E72D297353CC}">
              <c16:uniqueId val="{00000084-EF38-4430-92CF-BDDCF0A855A4}"/>
            </c:ext>
          </c:extLst>
        </c:ser>
        <c:ser>
          <c:idx val="9"/>
          <c:order val="9"/>
          <c:tx>
            <c:strRef>
              <c:f>Pivots!$L$130:$L$133</c:f>
              <c:strCache>
                <c:ptCount val="1"/>
                <c:pt idx="0">
                  <c:v>Natural gas - Bottles - Non-sustainable</c:v>
                </c:pt>
              </c:strCache>
            </c:strRef>
          </c:tx>
          <c:spPr>
            <a:solidFill>
              <a:schemeClr val="accent4">
                <a:lumMod val="60000"/>
              </a:schemeClr>
            </a:solidFill>
            <a:ln>
              <a:noFill/>
            </a:ln>
            <a:effectLst/>
          </c:spPr>
          <c:invertIfNegative val="0"/>
          <c:cat>
            <c:strRef>
              <c:f>Pivots!$B$134:$B$135</c:f>
              <c:strCache>
                <c:ptCount val="1"/>
                <c:pt idx="0">
                  <c:v>Energy</c:v>
                </c:pt>
              </c:strCache>
            </c:strRef>
          </c:cat>
          <c:val>
            <c:numRef>
              <c:f>Pivots!$L$134:$L$135</c:f>
              <c:numCache>
                <c:formatCode>_-* #,##0_-;\-* #,##0_-;_-* "-"??_-;_-@_-</c:formatCode>
                <c:ptCount val="1"/>
                <c:pt idx="0">
                  <c:v>0</c:v>
                </c:pt>
              </c:numCache>
            </c:numRef>
          </c:val>
          <c:extLst>
            <c:ext xmlns:c16="http://schemas.microsoft.com/office/drawing/2014/chart" uri="{C3380CC4-5D6E-409C-BE32-E72D297353CC}">
              <c16:uniqueId val="{00000085-EF38-4430-92CF-BDDCF0A855A4}"/>
            </c:ext>
          </c:extLst>
        </c:ser>
        <c:ser>
          <c:idx val="10"/>
          <c:order val="10"/>
          <c:tx>
            <c:strRef>
              <c:f>Pivots!$M$130:$M$133</c:f>
              <c:strCache>
                <c:ptCount val="1"/>
                <c:pt idx="0">
                  <c:v>Hydrogen - Generators - Non-sustainable</c:v>
                </c:pt>
              </c:strCache>
            </c:strRef>
          </c:tx>
          <c:spPr>
            <a:solidFill>
              <a:schemeClr val="accent5">
                <a:lumMod val="60000"/>
              </a:schemeClr>
            </a:solidFill>
            <a:ln>
              <a:noFill/>
            </a:ln>
            <a:effectLst/>
          </c:spPr>
          <c:invertIfNegative val="0"/>
          <c:cat>
            <c:strRef>
              <c:f>Pivots!$B$134:$B$135</c:f>
              <c:strCache>
                <c:ptCount val="1"/>
                <c:pt idx="0">
                  <c:v>Energy</c:v>
                </c:pt>
              </c:strCache>
            </c:strRef>
          </c:cat>
          <c:val>
            <c:numRef>
              <c:f>Pivots!$M$134:$M$135</c:f>
              <c:numCache>
                <c:formatCode>_-* #,##0_-;\-* #,##0_-;_-* "-"??_-;_-@_-</c:formatCode>
                <c:ptCount val="1"/>
                <c:pt idx="0">
                  <c:v>0</c:v>
                </c:pt>
              </c:numCache>
            </c:numRef>
          </c:val>
          <c:extLst>
            <c:ext xmlns:c16="http://schemas.microsoft.com/office/drawing/2014/chart" uri="{C3380CC4-5D6E-409C-BE32-E72D297353CC}">
              <c16:uniqueId val="{00000086-EF38-4430-92CF-BDDCF0A855A4}"/>
            </c:ext>
          </c:extLst>
        </c:ser>
        <c:ser>
          <c:idx val="11"/>
          <c:order val="11"/>
          <c:tx>
            <c:strRef>
              <c:f>Pivots!$N$130:$N$133</c:f>
              <c:strCache>
                <c:ptCount val="1"/>
                <c:pt idx="0">
                  <c:v>Hydrogen - Generators - Sustainable</c:v>
                </c:pt>
              </c:strCache>
            </c:strRef>
          </c:tx>
          <c:spPr>
            <a:solidFill>
              <a:schemeClr val="accent6">
                <a:lumMod val="60000"/>
              </a:schemeClr>
            </a:solidFill>
            <a:ln>
              <a:noFill/>
            </a:ln>
            <a:effectLst/>
          </c:spPr>
          <c:invertIfNegative val="0"/>
          <c:cat>
            <c:strRef>
              <c:f>Pivots!$B$134:$B$135</c:f>
              <c:strCache>
                <c:ptCount val="1"/>
                <c:pt idx="0">
                  <c:v>Energy</c:v>
                </c:pt>
              </c:strCache>
            </c:strRef>
          </c:cat>
          <c:val>
            <c:numRef>
              <c:f>Pivots!$N$134:$N$135</c:f>
              <c:numCache>
                <c:formatCode>_-* #,##0_-;\-* #,##0_-;_-* "-"??_-;_-@_-</c:formatCode>
                <c:ptCount val="1"/>
                <c:pt idx="0">
                  <c:v>0</c:v>
                </c:pt>
              </c:numCache>
            </c:numRef>
          </c:val>
          <c:extLst>
            <c:ext xmlns:c16="http://schemas.microsoft.com/office/drawing/2014/chart" uri="{C3380CC4-5D6E-409C-BE32-E72D297353CC}">
              <c16:uniqueId val="{00000087-EF38-4430-92CF-BDDCF0A855A4}"/>
            </c:ext>
          </c:extLst>
        </c:ser>
        <c:dLbls>
          <c:showLegendKey val="0"/>
          <c:showVal val="0"/>
          <c:showCatName val="0"/>
          <c:showSerName val="0"/>
          <c:showPercent val="0"/>
          <c:showBubbleSize val="0"/>
        </c:dLbls>
        <c:gapWidth val="219"/>
        <c:overlap val="100"/>
        <c:axId val="1395962368"/>
        <c:axId val="1395956608"/>
      </c:barChart>
      <c:catAx>
        <c:axId val="1395962368"/>
        <c:scaling>
          <c:orientation val="minMax"/>
        </c:scaling>
        <c:delete val="0"/>
        <c:axPos val="l"/>
        <c:numFmt formatCode="General" sourceLinked="1"/>
        <c:majorTickMark val="none"/>
        <c:minorTickMark val="none"/>
        <c:tickLblPos val="nextTo"/>
        <c:spPr>
          <a:noFill/>
          <a:ln w="12700" cap="flat" cmpd="sng" algn="ctr">
            <a:solidFill>
              <a:schemeClr val="tx2">
                <a:lumMod val="50000"/>
                <a:lumOff val="50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NL"/>
          </a:p>
        </c:txPr>
        <c:crossAx val="1395956608"/>
        <c:crosses val="autoZero"/>
        <c:auto val="1"/>
        <c:lblAlgn val="ctr"/>
        <c:lblOffset val="100"/>
        <c:noMultiLvlLbl val="0"/>
      </c:catAx>
      <c:valAx>
        <c:axId val="1395956608"/>
        <c:scaling>
          <c:orientation val="minMax"/>
        </c:scaling>
        <c:delete val="0"/>
        <c:axPos val="b"/>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959623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400" b="0" i="0" u="none" strike="noStrike" kern="1200" baseline="0">
                <a:solidFill>
                  <a:schemeClr val="tx1">
                    <a:lumMod val="65000"/>
                    <a:lumOff val="35000"/>
                  </a:schemeClr>
                </a:solidFill>
                <a:latin typeface="+mn-lt"/>
                <a:ea typeface="+mn-ea"/>
                <a:cs typeface="+mn-cs"/>
              </a:defRPr>
            </a:pPr>
            <a:endParaRPr lang="nl-NL"/>
          </a:p>
        </c:txPr>
      </c:dTable>
      <c:spPr>
        <a:noFill/>
        <a:ln>
          <a:noFill/>
        </a:ln>
        <a:effectLst/>
      </c:spPr>
    </c:plotArea>
    <c:legend>
      <c:legendPos val="r"/>
      <c:layout>
        <c:manualLayout>
          <c:xMode val="edge"/>
          <c:yMode val="edge"/>
          <c:x val="0.83367770709677902"/>
          <c:y val="1.5454160676215849E-2"/>
          <c:w val="0.16252718396192939"/>
          <c:h val="0.93877896208450451"/>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(2026).xlsx]Pivots!PivotTable3</c:name>
    <c:fmtId val="18"/>
  </c:pivotSource>
  <c:chart>
    <c:title>
      <c:tx>
        <c:rich>
          <a:bodyPr rot="0" spcFirstLastPara="1" vertOverflow="ellipsis" vert="horz" wrap="square" anchor="ctr" anchorCtr="1"/>
          <a:lstStyle/>
          <a:p>
            <a:pPr algn="ctr" rtl="0">
              <a:defRPr lang="en-US" sz="2400" b="1" i="0" u="none" strike="noStrike" kern="1200" cap="all" spc="50" baseline="0">
                <a:solidFill>
                  <a:srgbClr val="000000">
                    <a:lumMod val="65000"/>
                    <a:lumOff val="35000"/>
                  </a:srgbClr>
                </a:solidFill>
                <a:latin typeface="+mn-lt"/>
                <a:ea typeface="+mn-ea"/>
                <a:cs typeface="+mn-cs"/>
              </a:defRPr>
            </a:pPr>
            <a:r>
              <a:rPr lang="en-US" sz="2400" b="1" i="0" u="none" strike="noStrike" kern="1200" cap="all" spc="50" baseline="0">
                <a:solidFill>
                  <a:srgbClr val="000000">
                    <a:lumMod val="65000"/>
                    <a:lumOff val="35000"/>
                  </a:srgbClr>
                </a:solidFill>
                <a:latin typeface="+mn-lt"/>
                <a:ea typeface="+mn-ea"/>
                <a:cs typeface="+mn-cs"/>
              </a:rPr>
              <a:t>Procured materials (kG)</a:t>
            </a:r>
          </a:p>
        </c:rich>
      </c:tx>
      <c:overlay val="0"/>
      <c:spPr>
        <a:noFill/>
        <a:ln>
          <a:noFill/>
        </a:ln>
        <a:effectLst/>
      </c:spPr>
      <c:txPr>
        <a:bodyPr rot="0" spcFirstLastPara="1" vertOverflow="ellipsis" vert="horz" wrap="square" anchor="ctr" anchorCtr="1"/>
        <a:lstStyle/>
        <a:p>
          <a:pPr algn="ctr" rtl="0">
            <a:defRPr lang="en-US" sz="2400" b="1" i="0" u="none" strike="noStrike" kern="1200" cap="all" spc="50" baseline="0">
              <a:solidFill>
                <a:srgbClr val="000000">
                  <a:lumMod val="65000"/>
                  <a:lumOff val="35000"/>
                </a:srgbClr>
              </a:solidFill>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dLbl>
          <c:idx val="0"/>
          <c:showLegendKey val="0"/>
          <c:showVal val="0"/>
          <c:showCatName val="0"/>
          <c:showSerName val="0"/>
          <c:showPercent val="0"/>
          <c:showBubbleSize val="0"/>
          <c:extLst>
            <c:ext xmlns:c15="http://schemas.microsoft.com/office/drawing/2012/chart" uri="{CE6537A1-D6FC-4f65-9D91-7224C49458BB}"/>
          </c:extLst>
        </c:dLbl>
      </c:pivotFmt>
      <c:pivotFmt>
        <c:idx val="15"/>
        <c:dLbl>
          <c:idx val="0"/>
          <c:showLegendKey val="0"/>
          <c:showVal val="0"/>
          <c:showCatName val="0"/>
          <c:showSerName val="0"/>
          <c:showPercent val="0"/>
          <c:showBubbleSize val="0"/>
          <c:extLst>
            <c:ext xmlns:c15="http://schemas.microsoft.com/office/drawing/2012/chart" uri="{CE6537A1-D6FC-4f65-9D91-7224C49458BB}"/>
          </c:extLst>
        </c:dLbl>
      </c:pivotFmt>
      <c:pivotFmt>
        <c:idx val="16"/>
        <c:dLbl>
          <c:idx val="0"/>
          <c:showLegendKey val="0"/>
          <c:showVal val="0"/>
          <c:showCatName val="0"/>
          <c:showSerName val="0"/>
          <c:showPercent val="0"/>
          <c:showBubbleSize val="0"/>
          <c:extLst>
            <c:ext xmlns:c15="http://schemas.microsoft.com/office/drawing/2012/chart" uri="{CE6537A1-D6FC-4f65-9D91-7224C49458BB}"/>
          </c:extLst>
        </c:dLbl>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dLbl>
          <c:idx val="0"/>
          <c:showLegendKey val="0"/>
          <c:showVal val="0"/>
          <c:showCatName val="0"/>
          <c:showSerName val="0"/>
          <c:showPercent val="0"/>
          <c:showBubbleSize val="0"/>
          <c:extLst>
            <c:ext xmlns:c15="http://schemas.microsoft.com/office/drawing/2012/chart" uri="{CE6537A1-D6FC-4f65-9D91-7224C49458BB}"/>
          </c:extLst>
        </c:dLbl>
      </c:pivotFmt>
      <c:pivotFmt>
        <c:idx val="23"/>
        <c:dLbl>
          <c:idx val="0"/>
          <c:showLegendKey val="0"/>
          <c:showVal val="0"/>
          <c:showCatName val="0"/>
          <c:showSerName val="0"/>
          <c:showPercent val="0"/>
          <c:showBubbleSize val="0"/>
          <c:extLst>
            <c:ext xmlns:c15="http://schemas.microsoft.com/office/drawing/2012/chart" uri="{CE6537A1-D6FC-4f65-9D91-7224C49458BB}"/>
          </c:extLst>
        </c:dLbl>
      </c:pivotFmt>
      <c:pivotFmt>
        <c:idx val="24"/>
        <c:dLbl>
          <c:idx val="0"/>
          <c:showLegendKey val="0"/>
          <c:showVal val="0"/>
          <c:showCatName val="0"/>
          <c:showSerName val="0"/>
          <c:showPercent val="0"/>
          <c:showBubbleSize val="0"/>
          <c:extLst>
            <c:ext xmlns:c15="http://schemas.microsoft.com/office/drawing/2012/chart" uri="{CE6537A1-D6FC-4f65-9D91-7224C49458BB}"/>
          </c:extLst>
        </c:dLbl>
      </c:pivotFmt>
      <c:pivotFmt>
        <c:idx val="25"/>
        <c:dLbl>
          <c:idx val="0"/>
          <c:showLegendKey val="0"/>
          <c:showVal val="0"/>
          <c:showCatName val="0"/>
          <c:showSerName val="0"/>
          <c:showPercent val="0"/>
          <c:showBubbleSize val="0"/>
          <c:extLst>
            <c:ext xmlns:c15="http://schemas.microsoft.com/office/drawing/2012/chart" uri="{CE6537A1-D6FC-4f65-9D91-7224C49458BB}"/>
          </c:extLst>
        </c:dLbl>
      </c:pivotFmt>
      <c:pivotFmt>
        <c:idx val="26"/>
        <c:dLbl>
          <c:idx val="0"/>
          <c:showLegendKey val="0"/>
          <c:showVal val="0"/>
          <c:showCatName val="0"/>
          <c:showSerName val="0"/>
          <c:showPercent val="0"/>
          <c:showBubbleSize val="0"/>
          <c:extLst>
            <c:ext xmlns:c15="http://schemas.microsoft.com/office/drawing/2012/chart" uri="{CE6537A1-D6FC-4f65-9D91-7224C49458BB}"/>
          </c:extLst>
        </c:dLbl>
      </c:pivotFmt>
      <c:pivotFmt>
        <c:idx val="27"/>
        <c:dLbl>
          <c:idx val="0"/>
          <c:showLegendKey val="0"/>
          <c:showVal val="0"/>
          <c:showCatName val="0"/>
          <c:showSerName val="0"/>
          <c:showPercent val="0"/>
          <c:showBubbleSize val="0"/>
          <c:extLst>
            <c:ext xmlns:c15="http://schemas.microsoft.com/office/drawing/2012/chart" uri="{CE6537A1-D6FC-4f65-9D91-7224C49458BB}"/>
          </c:extLst>
        </c:dLbl>
      </c:pivotFmt>
      <c:pivotFmt>
        <c:idx val="28"/>
        <c:dLbl>
          <c:idx val="0"/>
          <c:showLegendKey val="0"/>
          <c:showVal val="0"/>
          <c:showCatName val="0"/>
          <c:showSerName val="0"/>
          <c:showPercent val="0"/>
          <c:showBubbleSize val="0"/>
          <c:extLst>
            <c:ext xmlns:c15="http://schemas.microsoft.com/office/drawing/2012/chart" uri="{CE6537A1-D6FC-4f65-9D91-7224C49458BB}"/>
          </c:extLst>
        </c:dLbl>
      </c:pivotFmt>
      <c:pivotFmt>
        <c:idx val="29"/>
        <c:dLbl>
          <c:idx val="0"/>
          <c:showLegendKey val="0"/>
          <c:showVal val="0"/>
          <c:showCatName val="0"/>
          <c:showSerName val="0"/>
          <c:showPercent val="0"/>
          <c:showBubbleSize val="0"/>
          <c:extLst>
            <c:ext xmlns:c15="http://schemas.microsoft.com/office/drawing/2012/chart" uri="{CE6537A1-D6FC-4f65-9D91-7224C49458BB}"/>
          </c:extLst>
        </c:dLbl>
      </c:pivotFmt>
      <c:pivotFmt>
        <c:idx val="30"/>
        <c:dLbl>
          <c:idx val="0"/>
          <c:showLegendKey val="0"/>
          <c:showVal val="0"/>
          <c:showCatName val="0"/>
          <c:showSerName val="0"/>
          <c:showPercent val="0"/>
          <c:showBubbleSize val="0"/>
          <c:extLst>
            <c:ext xmlns:c15="http://schemas.microsoft.com/office/drawing/2012/chart" uri="{CE6537A1-D6FC-4f65-9D91-7224C49458BB}"/>
          </c:extLst>
        </c:dLbl>
      </c:pivotFmt>
      <c:pivotFmt>
        <c:idx val="31"/>
        <c:dLbl>
          <c:idx val="0"/>
          <c:showLegendKey val="0"/>
          <c:showVal val="0"/>
          <c:showCatName val="0"/>
          <c:showSerName val="0"/>
          <c:showPercent val="0"/>
          <c:showBubbleSize val="0"/>
          <c:extLst>
            <c:ext xmlns:c15="http://schemas.microsoft.com/office/drawing/2012/chart" uri="{CE6537A1-D6FC-4f65-9D91-7224C49458BB}"/>
          </c:extLst>
        </c:dLbl>
      </c:pivotFmt>
      <c:pivotFmt>
        <c:idx val="32"/>
        <c:dLbl>
          <c:idx val="0"/>
          <c:showLegendKey val="0"/>
          <c:showVal val="0"/>
          <c:showCatName val="0"/>
          <c:showSerName val="0"/>
          <c:showPercent val="0"/>
          <c:showBubbleSize val="0"/>
          <c:extLst>
            <c:ext xmlns:c15="http://schemas.microsoft.com/office/drawing/2012/chart" uri="{CE6537A1-D6FC-4f65-9D91-7224C49458BB}"/>
          </c:extLst>
        </c:dLbl>
      </c:pivotFmt>
      <c:pivotFmt>
        <c:idx val="33"/>
        <c:dLbl>
          <c:idx val="0"/>
          <c:showLegendKey val="0"/>
          <c:showVal val="0"/>
          <c:showCatName val="0"/>
          <c:showSerName val="0"/>
          <c:showPercent val="0"/>
          <c:showBubbleSize val="0"/>
          <c:extLst>
            <c:ext xmlns:c15="http://schemas.microsoft.com/office/drawing/2012/chart" uri="{CE6537A1-D6FC-4f65-9D91-7224C49458BB}"/>
          </c:extLst>
        </c:dLbl>
      </c:pivotFmt>
      <c:pivotFmt>
        <c:idx val="34"/>
        <c:dLbl>
          <c:idx val="0"/>
          <c:showLegendKey val="0"/>
          <c:showVal val="0"/>
          <c:showCatName val="0"/>
          <c:showSerName val="0"/>
          <c:showPercent val="0"/>
          <c:showBubbleSize val="0"/>
          <c:extLst>
            <c:ext xmlns:c15="http://schemas.microsoft.com/office/drawing/2012/chart" uri="{CE6537A1-D6FC-4f65-9D91-7224C49458BB}"/>
          </c:extLst>
        </c:dLbl>
      </c:pivotFmt>
      <c:pivotFmt>
        <c:idx val="35"/>
        <c:dLbl>
          <c:idx val="0"/>
          <c:showLegendKey val="0"/>
          <c:showVal val="0"/>
          <c:showCatName val="0"/>
          <c:showSerName val="0"/>
          <c:showPercent val="0"/>
          <c:showBubbleSize val="0"/>
          <c:extLst>
            <c:ext xmlns:c15="http://schemas.microsoft.com/office/drawing/2012/chart" uri="{CE6537A1-D6FC-4f65-9D91-7224C49458BB}"/>
          </c:extLst>
        </c:dLbl>
      </c:pivotFmt>
      <c:pivotFmt>
        <c:idx val="36"/>
        <c:dLbl>
          <c:idx val="0"/>
          <c:showLegendKey val="0"/>
          <c:showVal val="0"/>
          <c:showCatName val="0"/>
          <c:showSerName val="0"/>
          <c:showPercent val="0"/>
          <c:showBubbleSize val="0"/>
          <c:extLst>
            <c:ext xmlns:c15="http://schemas.microsoft.com/office/drawing/2012/chart" uri="{CE6537A1-D6FC-4f65-9D91-7224C49458BB}"/>
          </c:extLst>
        </c:dLbl>
      </c:pivotFmt>
      <c:pivotFmt>
        <c:idx val="37"/>
        <c:dLbl>
          <c:idx val="0"/>
          <c:showLegendKey val="0"/>
          <c:showVal val="0"/>
          <c:showCatName val="0"/>
          <c:showSerName val="0"/>
          <c:showPercent val="0"/>
          <c:showBubbleSize val="0"/>
          <c:extLst>
            <c:ext xmlns:c15="http://schemas.microsoft.com/office/drawing/2012/chart" uri="{CE6537A1-D6FC-4f65-9D91-7224C49458BB}"/>
          </c:extLst>
        </c:dLbl>
      </c:pivotFmt>
      <c:pivotFmt>
        <c:idx val="38"/>
        <c:dLbl>
          <c:idx val="0"/>
          <c:showLegendKey val="0"/>
          <c:showVal val="0"/>
          <c:showCatName val="0"/>
          <c:showSerName val="0"/>
          <c:showPercent val="0"/>
          <c:showBubbleSize val="0"/>
          <c:extLst>
            <c:ext xmlns:c15="http://schemas.microsoft.com/office/drawing/2012/chart" uri="{CE6537A1-D6FC-4f65-9D91-7224C49458BB}"/>
          </c:extLst>
        </c:dLbl>
      </c:pivotFmt>
      <c:pivotFmt>
        <c:idx val="39"/>
        <c:dLbl>
          <c:idx val="0"/>
          <c:showLegendKey val="0"/>
          <c:showVal val="0"/>
          <c:showCatName val="0"/>
          <c:showSerName val="0"/>
          <c:showPercent val="0"/>
          <c:showBubbleSize val="0"/>
          <c:extLst>
            <c:ext xmlns:c15="http://schemas.microsoft.com/office/drawing/2012/chart" uri="{CE6537A1-D6FC-4f65-9D91-7224C49458BB}"/>
          </c:extLst>
        </c:dLbl>
      </c:pivotFmt>
      <c:pivotFmt>
        <c:idx val="40"/>
        <c:dLbl>
          <c:idx val="0"/>
          <c:showLegendKey val="0"/>
          <c:showVal val="0"/>
          <c:showCatName val="0"/>
          <c:showSerName val="0"/>
          <c:showPercent val="0"/>
          <c:showBubbleSize val="0"/>
          <c:extLst>
            <c:ext xmlns:c15="http://schemas.microsoft.com/office/drawing/2012/chart" uri="{CE6537A1-D6FC-4f65-9D91-7224C49458BB}"/>
          </c:extLst>
        </c:dLbl>
      </c:pivotFmt>
      <c:pivotFmt>
        <c:idx val="41"/>
        <c:dLbl>
          <c:idx val="0"/>
          <c:showLegendKey val="0"/>
          <c:showVal val="0"/>
          <c:showCatName val="0"/>
          <c:showSerName val="0"/>
          <c:showPercent val="0"/>
          <c:showBubbleSize val="0"/>
          <c:extLst>
            <c:ext xmlns:c15="http://schemas.microsoft.com/office/drawing/2012/chart" uri="{CE6537A1-D6FC-4f65-9D91-7224C49458BB}"/>
          </c:extLst>
        </c:dLbl>
      </c:pivotFmt>
      <c:pivotFmt>
        <c:idx val="42"/>
        <c:dLbl>
          <c:idx val="0"/>
          <c:showLegendKey val="0"/>
          <c:showVal val="0"/>
          <c:showCatName val="0"/>
          <c:showSerName val="0"/>
          <c:showPercent val="0"/>
          <c:showBubbleSize val="0"/>
          <c:extLst>
            <c:ext xmlns:c15="http://schemas.microsoft.com/office/drawing/2012/chart" uri="{CE6537A1-D6FC-4f65-9D91-7224C49458BB}"/>
          </c:extLst>
        </c:dLbl>
      </c:pivotFmt>
      <c:pivotFmt>
        <c:idx val="43"/>
        <c:dLbl>
          <c:idx val="0"/>
          <c:showLegendKey val="0"/>
          <c:showVal val="0"/>
          <c:showCatName val="0"/>
          <c:showSerName val="0"/>
          <c:showPercent val="0"/>
          <c:showBubbleSize val="0"/>
          <c:extLst>
            <c:ext xmlns:c15="http://schemas.microsoft.com/office/drawing/2012/chart" uri="{CE6537A1-D6FC-4f65-9D91-7224C49458BB}"/>
          </c:extLst>
        </c:dLbl>
      </c:pivotFmt>
      <c:pivotFmt>
        <c:idx val="44"/>
        <c:dLbl>
          <c:idx val="0"/>
          <c:showLegendKey val="0"/>
          <c:showVal val="0"/>
          <c:showCatName val="0"/>
          <c:showSerName val="0"/>
          <c:showPercent val="0"/>
          <c:showBubbleSize val="0"/>
          <c:extLst>
            <c:ext xmlns:c15="http://schemas.microsoft.com/office/drawing/2012/chart" uri="{CE6537A1-D6FC-4f65-9D91-7224C49458BB}"/>
          </c:extLst>
        </c:dLbl>
      </c:pivotFmt>
      <c:pivotFmt>
        <c:idx val="45"/>
        <c:dLbl>
          <c:idx val="0"/>
          <c:showLegendKey val="0"/>
          <c:showVal val="0"/>
          <c:showCatName val="0"/>
          <c:showSerName val="0"/>
          <c:showPercent val="0"/>
          <c:showBubbleSize val="0"/>
          <c:extLst>
            <c:ext xmlns:c15="http://schemas.microsoft.com/office/drawing/2012/chart" uri="{CE6537A1-D6FC-4f65-9D91-7224C49458BB}"/>
          </c:extLst>
        </c:dLbl>
      </c:pivotFmt>
      <c:pivotFmt>
        <c:idx val="46"/>
        <c:dLbl>
          <c:idx val="0"/>
          <c:showLegendKey val="0"/>
          <c:showVal val="0"/>
          <c:showCatName val="0"/>
          <c:showSerName val="0"/>
          <c:showPercent val="0"/>
          <c:showBubbleSize val="0"/>
          <c:extLst>
            <c:ext xmlns:c15="http://schemas.microsoft.com/office/drawing/2012/chart" uri="{CE6537A1-D6FC-4f65-9D91-7224C49458BB}"/>
          </c:extLst>
        </c:dLbl>
      </c:pivotFmt>
      <c:pivotFmt>
        <c:idx val="47"/>
        <c:dLbl>
          <c:idx val="0"/>
          <c:showLegendKey val="0"/>
          <c:showVal val="0"/>
          <c:showCatName val="0"/>
          <c:showSerName val="0"/>
          <c:showPercent val="0"/>
          <c:showBubbleSize val="0"/>
          <c:extLst>
            <c:ext xmlns:c15="http://schemas.microsoft.com/office/drawing/2012/chart" uri="{CE6537A1-D6FC-4f65-9D91-7224C49458BB}"/>
          </c:extLst>
        </c:dLbl>
      </c:pivotFmt>
      <c:pivotFmt>
        <c:idx val="48"/>
        <c:dLbl>
          <c:idx val="0"/>
          <c:showLegendKey val="0"/>
          <c:showVal val="0"/>
          <c:showCatName val="0"/>
          <c:showSerName val="0"/>
          <c:showPercent val="0"/>
          <c:showBubbleSize val="0"/>
          <c:extLst>
            <c:ext xmlns:c15="http://schemas.microsoft.com/office/drawing/2012/chart" uri="{CE6537A1-D6FC-4f65-9D91-7224C49458BB}"/>
          </c:extLst>
        </c:dLbl>
      </c:pivotFmt>
      <c:pivotFmt>
        <c:idx val="49"/>
        <c:dLbl>
          <c:idx val="0"/>
          <c:showLegendKey val="0"/>
          <c:showVal val="0"/>
          <c:showCatName val="0"/>
          <c:showSerName val="0"/>
          <c:showPercent val="0"/>
          <c:showBubbleSize val="0"/>
          <c:extLst>
            <c:ext xmlns:c15="http://schemas.microsoft.com/office/drawing/2012/chart" uri="{CE6537A1-D6FC-4f65-9D91-7224C49458BB}"/>
          </c:extLst>
        </c:dLbl>
      </c:pivotFmt>
      <c:pivotFmt>
        <c:idx val="50"/>
        <c:dLbl>
          <c:idx val="0"/>
          <c:showLegendKey val="0"/>
          <c:showVal val="0"/>
          <c:showCatName val="0"/>
          <c:showSerName val="0"/>
          <c:showPercent val="0"/>
          <c:showBubbleSize val="0"/>
          <c:extLst>
            <c:ext xmlns:c15="http://schemas.microsoft.com/office/drawing/2012/chart" uri="{CE6537A1-D6FC-4f65-9D91-7224C49458BB}"/>
          </c:extLst>
        </c:dLbl>
      </c:pivotFmt>
      <c:pivotFmt>
        <c:idx val="51"/>
        <c:dLbl>
          <c:idx val="0"/>
          <c:showLegendKey val="0"/>
          <c:showVal val="0"/>
          <c:showCatName val="0"/>
          <c:showSerName val="0"/>
          <c:showPercent val="0"/>
          <c:showBubbleSize val="0"/>
          <c:extLst>
            <c:ext xmlns:c15="http://schemas.microsoft.com/office/drawing/2012/chart" uri="{CE6537A1-D6FC-4f65-9D91-7224C49458BB}"/>
          </c:extLst>
        </c:dLbl>
      </c:pivotFmt>
      <c:pivotFmt>
        <c:idx val="52"/>
        <c:dLbl>
          <c:idx val="0"/>
          <c:showLegendKey val="0"/>
          <c:showVal val="0"/>
          <c:showCatName val="0"/>
          <c:showSerName val="0"/>
          <c:showPercent val="0"/>
          <c:showBubbleSize val="0"/>
          <c:extLst>
            <c:ext xmlns:c15="http://schemas.microsoft.com/office/drawing/2012/chart" uri="{CE6537A1-D6FC-4f65-9D91-7224C49458BB}"/>
          </c:extLst>
        </c:dLbl>
      </c:pivotFmt>
      <c:pivotFmt>
        <c:idx val="53"/>
        <c:dLbl>
          <c:idx val="0"/>
          <c:showLegendKey val="0"/>
          <c:showVal val="0"/>
          <c:showCatName val="0"/>
          <c:showSerName val="0"/>
          <c:showPercent val="0"/>
          <c:showBubbleSize val="0"/>
          <c:extLst>
            <c:ext xmlns:c15="http://schemas.microsoft.com/office/drawing/2012/chart" uri="{CE6537A1-D6FC-4f65-9D91-7224C49458BB}"/>
          </c:extLst>
        </c:dLbl>
      </c:pivotFmt>
      <c:pivotFmt>
        <c:idx val="54"/>
        <c:dLbl>
          <c:idx val="0"/>
          <c:showLegendKey val="0"/>
          <c:showVal val="0"/>
          <c:showCatName val="0"/>
          <c:showSerName val="0"/>
          <c:showPercent val="0"/>
          <c:showBubbleSize val="0"/>
          <c:extLst>
            <c:ext xmlns:c15="http://schemas.microsoft.com/office/drawing/2012/chart" uri="{CE6537A1-D6FC-4f65-9D91-7224C49458BB}"/>
          </c:extLst>
        </c:dLbl>
      </c:pivotFmt>
      <c:pivotFmt>
        <c:idx val="55"/>
        <c:dLbl>
          <c:idx val="0"/>
          <c:showLegendKey val="0"/>
          <c:showVal val="0"/>
          <c:showCatName val="0"/>
          <c:showSerName val="0"/>
          <c:showPercent val="0"/>
          <c:showBubbleSize val="0"/>
          <c:extLst>
            <c:ext xmlns:c15="http://schemas.microsoft.com/office/drawing/2012/chart" uri="{CE6537A1-D6FC-4f65-9D91-7224C49458BB}"/>
          </c:extLst>
        </c:dLbl>
      </c:pivotFmt>
      <c:pivotFmt>
        <c:idx val="56"/>
        <c:dLbl>
          <c:idx val="0"/>
          <c:showLegendKey val="0"/>
          <c:showVal val="0"/>
          <c:showCatName val="0"/>
          <c:showSerName val="0"/>
          <c:showPercent val="0"/>
          <c:showBubbleSize val="0"/>
          <c:extLst>
            <c:ext xmlns:c15="http://schemas.microsoft.com/office/drawing/2012/chart" uri="{CE6537A1-D6FC-4f65-9D91-7224C49458BB}"/>
          </c:extLst>
        </c:dLbl>
      </c:pivotFmt>
      <c:pivotFmt>
        <c:idx val="57"/>
        <c:dLbl>
          <c:idx val="0"/>
          <c:showLegendKey val="0"/>
          <c:showVal val="0"/>
          <c:showCatName val="0"/>
          <c:showSerName val="0"/>
          <c:showPercent val="0"/>
          <c:showBubbleSize val="0"/>
          <c:extLst>
            <c:ext xmlns:c15="http://schemas.microsoft.com/office/drawing/2012/chart" uri="{CE6537A1-D6FC-4f65-9D91-7224C49458BB}"/>
          </c:extLst>
        </c:dLbl>
      </c:pivotFmt>
      <c:pivotFmt>
        <c:idx val="58"/>
        <c:dLbl>
          <c:idx val="0"/>
          <c:showLegendKey val="0"/>
          <c:showVal val="0"/>
          <c:showCatName val="0"/>
          <c:showSerName val="0"/>
          <c:showPercent val="0"/>
          <c:showBubbleSize val="0"/>
          <c:extLst>
            <c:ext xmlns:c15="http://schemas.microsoft.com/office/drawing/2012/chart" uri="{CE6537A1-D6FC-4f65-9D91-7224C49458BB}"/>
          </c:extLst>
        </c:dLbl>
      </c:pivotFmt>
      <c:pivotFmt>
        <c:idx val="59"/>
        <c:dLbl>
          <c:idx val="0"/>
          <c:showLegendKey val="0"/>
          <c:showVal val="0"/>
          <c:showCatName val="0"/>
          <c:showSerName val="0"/>
          <c:showPercent val="0"/>
          <c:showBubbleSize val="0"/>
          <c:extLst>
            <c:ext xmlns:c15="http://schemas.microsoft.com/office/drawing/2012/chart" uri="{CE6537A1-D6FC-4f65-9D91-7224C49458BB}"/>
          </c:extLst>
        </c:dLbl>
      </c:pivotFmt>
      <c:pivotFmt>
        <c:idx val="60"/>
        <c:dLbl>
          <c:idx val="0"/>
          <c:showLegendKey val="0"/>
          <c:showVal val="0"/>
          <c:showCatName val="0"/>
          <c:showSerName val="0"/>
          <c:showPercent val="0"/>
          <c:showBubbleSize val="0"/>
          <c:extLst>
            <c:ext xmlns:c15="http://schemas.microsoft.com/office/drawing/2012/chart" uri="{CE6537A1-D6FC-4f65-9D91-7224C49458BB}"/>
          </c:extLst>
        </c:dLbl>
      </c:pivotFmt>
      <c:pivotFmt>
        <c:idx val="61"/>
        <c:dLbl>
          <c:idx val="0"/>
          <c:showLegendKey val="0"/>
          <c:showVal val="0"/>
          <c:showCatName val="0"/>
          <c:showSerName val="0"/>
          <c:showPercent val="0"/>
          <c:showBubbleSize val="0"/>
          <c:extLst>
            <c:ext xmlns:c15="http://schemas.microsoft.com/office/drawing/2012/chart" uri="{CE6537A1-D6FC-4f65-9D91-7224C49458BB}"/>
          </c:extLst>
        </c:dLbl>
      </c:pivotFmt>
      <c:pivotFmt>
        <c:idx val="62"/>
        <c:dLbl>
          <c:idx val="0"/>
          <c:showLegendKey val="0"/>
          <c:showVal val="0"/>
          <c:showCatName val="0"/>
          <c:showSerName val="0"/>
          <c:showPercent val="0"/>
          <c:showBubbleSize val="0"/>
          <c:extLst>
            <c:ext xmlns:c15="http://schemas.microsoft.com/office/drawing/2012/chart" uri="{CE6537A1-D6FC-4f65-9D91-7224C49458BB}"/>
          </c:extLst>
        </c:dLbl>
      </c:pivotFmt>
      <c:pivotFmt>
        <c:idx val="63"/>
        <c:dLbl>
          <c:idx val="0"/>
          <c:showLegendKey val="0"/>
          <c:showVal val="0"/>
          <c:showCatName val="0"/>
          <c:showSerName val="0"/>
          <c:showPercent val="0"/>
          <c:showBubbleSize val="0"/>
          <c:extLst>
            <c:ext xmlns:c15="http://schemas.microsoft.com/office/drawing/2012/chart" uri="{CE6537A1-D6FC-4f65-9D91-7224C49458BB}"/>
          </c:extLst>
        </c:dLbl>
      </c:pivotFmt>
      <c:pivotFmt>
        <c:idx val="64"/>
        <c:dLbl>
          <c:idx val="0"/>
          <c:showLegendKey val="0"/>
          <c:showVal val="0"/>
          <c:showCatName val="0"/>
          <c:showSerName val="0"/>
          <c:showPercent val="0"/>
          <c:showBubbleSize val="0"/>
          <c:extLst>
            <c:ext xmlns:c15="http://schemas.microsoft.com/office/drawing/2012/chart" uri="{CE6537A1-D6FC-4f65-9D91-7224C49458BB}"/>
          </c:extLst>
        </c:dLbl>
      </c:pivotFmt>
      <c:pivotFmt>
        <c:idx val="65"/>
        <c:dLbl>
          <c:idx val="0"/>
          <c:showLegendKey val="0"/>
          <c:showVal val="0"/>
          <c:showCatName val="0"/>
          <c:showSerName val="0"/>
          <c:showPercent val="0"/>
          <c:showBubbleSize val="0"/>
          <c:extLst>
            <c:ext xmlns:c15="http://schemas.microsoft.com/office/drawing/2012/chart" uri="{CE6537A1-D6FC-4f65-9D91-7224C49458BB}"/>
          </c:extLst>
        </c:dLbl>
      </c:pivotFmt>
      <c:pivotFmt>
        <c:idx val="66"/>
        <c:dLbl>
          <c:idx val="0"/>
          <c:showLegendKey val="0"/>
          <c:showVal val="0"/>
          <c:showCatName val="0"/>
          <c:showSerName val="0"/>
          <c:showPercent val="0"/>
          <c:showBubbleSize val="0"/>
          <c:extLst>
            <c:ext xmlns:c15="http://schemas.microsoft.com/office/drawing/2012/chart" uri="{CE6537A1-D6FC-4f65-9D91-7224C49458BB}"/>
          </c:extLst>
        </c:dLbl>
      </c:pivotFmt>
      <c:pivotFmt>
        <c:idx val="67"/>
        <c:dLbl>
          <c:idx val="0"/>
          <c:showLegendKey val="0"/>
          <c:showVal val="0"/>
          <c:showCatName val="0"/>
          <c:showSerName val="0"/>
          <c:showPercent val="0"/>
          <c:showBubbleSize val="0"/>
          <c:extLst>
            <c:ext xmlns:c15="http://schemas.microsoft.com/office/drawing/2012/chart" uri="{CE6537A1-D6FC-4f65-9D91-7224C49458BB}"/>
          </c:extLst>
        </c:dLbl>
      </c:pivotFmt>
      <c:pivotFmt>
        <c:idx val="68"/>
        <c:dLbl>
          <c:idx val="0"/>
          <c:showLegendKey val="0"/>
          <c:showVal val="0"/>
          <c:showCatName val="0"/>
          <c:showSerName val="0"/>
          <c:showPercent val="0"/>
          <c:showBubbleSize val="0"/>
          <c:extLst>
            <c:ext xmlns:c15="http://schemas.microsoft.com/office/drawing/2012/chart" uri="{CE6537A1-D6FC-4f65-9D91-7224C49458BB}"/>
          </c:extLst>
        </c:dLbl>
      </c:pivotFmt>
      <c:pivotFmt>
        <c:idx val="69"/>
        <c:dLbl>
          <c:idx val="0"/>
          <c:showLegendKey val="0"/>
          <c:showVal val="0"/>
          <c:showCatName val="0"/>
          <c:showSerName val="0"/>
          <c:showPercent val="0"/>
          <c:showBubbleSize val="0"/>
          <c:extLst>
            <c:ext xmlns:c15="http://schemas.microsoft.com/office/drawing/2012/chart" uri="{CE6537A1-D6FC-4f65-9D91-7224C49458BB}"/>
          </c:extLst>
        </c:dLbl>
      </c:pivotFmt>
      <c:pivotFmt>
        <c:idx val="70"/>
        <c:dLbl>
          <c:idx val="0"/>
          <c:showLegendKey val="0"/>
          <c:showVal val="0"/>
          <c:showCatName val="0"/>
          <c:showSerName val="0"/>
          <c:showPercent val="0"/>
          <c:showBubbleSize val="0"/>
          <c:extLst>
            <c:ext xmlns:c15="http://schemas.microsoft.com/office/drawing/2012/chart" uri="{CE6537A1-D6FC-4f65-9D91-7224C49458BB}"/>
          </c:extLst>
        </c:dLbl>
      </c:pivotFmt>
      <c:pivotFmt>
        <c:idx val="71"/>
        <c:dLbl>
          <c:idx val="0"/>
          <c:showLegendKey val="0"/>
          <c:showVal val="0"/>
          <c:showCatName val="0"/>
          <c:showSerName val="0"/>
          <c:showPercent val="0"/>
          <c:showBubbleSize val="0"/>
          <c:extLst>
            <c:ext xmlns:c15="http://schemas.microsoft.com/office/drawing/2012/chart" uri="{CE6537A1-D6FC-4f65-9D91-7224C49458BB}"/>
          </c:extLst>
        </c:dLbl>
      </c:pivotFmt>
      <c:pivotFmt>
        <c:idx val="72"/>
        <c:dLbl>
          <c:idx val="0"/>
          <c:showLegendKey val="0"/>
          <c:showVal val="0"/>
          <c:showCatName val="0"/>
          <c:showSerName val="0"/>
          <c:showPercent val="0"/>
          <c:showBubbleSize val="0"/>
          <c:extLst>
            <c:ext xmlns:c15="http://schemas.microsoft.com/office/drawing/2012/chart" uri="{CE6537A1-D6FC-4f65-9D91-7224C49458BB}"/>
          </c:extLst>
        </c:dLbl>
      </c:pivotFmt>
      <c:pivotFmt>
        <c:idx val="73"/>
        <c:dLbl>
          <c:idx val="0"/>
          <c:showLegendKey val="0"/>
          <c:showVal val="0"/>
          <c:showCatName val="0"/>
          <c:showSerName val="0"/>
          <c:showPercent val="0"/>
          <c:showBubbleSize val="0"/>
          <c:extLst>
            <c:ext xmlns:c15="http://schemas.microsoft.com/office/drawing/2012/chart" uri="{CE6537A1-D6FC-4f65-9D91-7224C49458BB}"/>
          </c:extLst>
        </c:dLbl>
      </c:pivotFmt>
      <c:pivotFmt>
        <c:idx val="74"/>
        <c:dLbl>
          <c:idx val="0"/>
          <c:showLegendKey val="0"/>
          <c:showVal val="0"/>
          <c:showCatName val="0"/>
          <c:showSerName val="0"/>
          <c:showPercent val="0"/>
          <c:showBubbleSize val="0"/>
          <c:extLst>
            <c:ext xmlns:c15="http://schemas.microsoft.com/office/drawing/2012/chart" uri="{CE6537A1-D6FC-4f65-9D91-7224C49458BB}"/>
          </c:extLst>
        </c:dLbl>
      </c:pivotFmt>
      <c:pivotFmt>
        <c:idx val="75"/>
        <c:dLbl>
          <c:idx val="0"/>
          <c:showLegendKey val="0"/>
          <c:showVal val="0"/>
          <c:showCatName val="0"/>
          <c:showSerName val="0"/>
          <c:showPercent val="0"/>
          <c:showBubbleSize val="0"/>
          <c:extLst>
            <c:ext xmlns:c15="http://schemas.microsoft.com/office/drawing/2012/chart" uri="{CE6537A1-D6FC-4f65-9D91-7224C49458BB}"/>
          </c:extLst>
        </c:dLbl>
      </c:pivotFmt>
      <c:pivotFmt>
        <c:idx val="76"/>
        <c:dLbl>
          <c:idx val="0"/>
          <c:showLegendKey val="0"/>
          <c:showVal val="0"/>
          <c:showCatName val="0"/>
          <c:showSerName val="0"/>
          <c:showPercent val="0"/>
          <c:showBubbleSize val="0"/>
          <c:extLst>
            <c:ext xmlns:c15="http://schemas.microsoft.com/office/drawing/2012/chart" uri="{CE6537A1-D6FC-4f65-9D91-7224C49458BB}"/>
          </c:extLst>
        </c:dLbl>
      </c:pivotFmt>
      <c:pivotFmt>
        <c:idx val="77"/>
        <c:dLbl>
          <c:idx val="0"/>
          <c:showLegendKey val="0"/>
          <c:showVal val="0"/>
          <c:showCatName val="0"/>
          <c:showSerName val="0"/>
          <c:showPercent val="0"/>
          <c:showBubbleSize val="0"/>
          <c:extLst>
            <c:ext xmlns:c15="http://schemas.microsoft.com/office/drawing/2012/chart" uri="{CE6537A1-D6FC-4f65-9D91-7224C49458BB}"/>
          </c:extLst>
        </c:dLbl>
      </c:pivotFmt>
      <c:pivotFmt>
        <c:idx val="78"/>
        <c:dLbl>
          <c:idx val="0"/>
          <c:showLegendKey val="0"/>
          <c:showVal val="0"/>
          <c:showCatName val="0"/>
          <c:showSerName val="0"/>
          <c:showPercent val="0"/>
          <c:showBubbleSize val="0"/>
          <c:extLst>
            <c:ext xmlns:c15="http://schemas.microsoft.com/office/drawing/2012/chart" uri="{CE6537A1-D6FC-4f65-9D91-7224C49458BB}"/>
          </c:extLst>
        </c:dLbl>
      </c:pivotFmt>
      <c:pivotFmt>
        <c:idx val="79"/>
        <c:dLbl>
          <c:idx val="0"/>
          <c:showLegendKey val="0"/>
          <c:showVal val="0"/>
          <c:showCatName val="0"/>
          <c:showSerName val="0"/>
          <c:showPercent val="0"/>
          <c:showBubbleSize val="0"/>
          <c:extLst>
            <c:ext xmlns:c15="http://schemas.microsoft.com/office/drawing/2012/chart" uri="{CE6537A1-D6FC-4f65-9D91-7224C49458BB}"/>
          </c:extLst>
        </c:dLbl>
      </c:pivotFmt>
      <c:pivotFmt>
        <c:idx val="80"/>
        <c:dLbl>
          <c:idx val="0"/>
          <c:showLegendKey val="0"/>
          <c:showVal val="0"/>
          <c:showCatName val="0"/>
          <c:showSerName val="0"/>
          <c:showPercent val="0"/>
          <c:showBubbleSize val="0"/>
          <c:extLst>
            <c:ext xmlns:c15="http://schemas.microsoft.com/office/drawing/2012/chart" uri="{CE6537A1-D6FC-4f65-9D91-7224C49458BB}"/>
          </c:extLst>
        </c:dLbl>
      </c:pivotFmt>
      <c:pivotFmt>
        <c:idx val="81"/>
        <c:dLbl>
          <c:idx val="0"/>
          <c:showLegendKey val="0"/>
          <c:showVal val="0"/>
          <c:showCatName val="0"/>
          <c:showSerName val="0"/>
          <c:showPercent val="0"/>
          <c:showBubbleSize val="0"/>
          <c:extLst>
            <c:ext xmlns:c15="http://schemas.microsoft.com/office/drawing/2012/chart" uri="{CE6537A1-D6FC-4f65-9D91-7224C49458BB}"/>
          </c:extLst>
        </c:dLbl>
      </c:pivotFmt>
      <c:pivotFmt>
        <c:idx val="82"/>
        <c:dLbl>
          <c:idx val="0"/>
          <c:showLegendKey val="0"/>
          <c:showVal val="0"/>
          <c:showCatName val="0"/>
          <c:showSerName val="0"/>
          <c:showPercent val="0"/>
          <c:showBubbleSize val="0"/>
          <c:extLst>
            <c:ext xmlns:c15="http://schemas.microsoft.com/office/drawing/2012/chart" uri="{CE6537A1-D6FC-4f65-9D91-7224C49458BB}"/>
          </c:extLst>
        </c:dLbl>
      </c:pivotFmt>
      <c:pivotFmt>
        <c:idx val="83"/>
        <c:dLbl>
          <c:idx val="0"/>
          <c:showLegendKey val="0"/>
          <c:showVal val="0"/>
          <c:showCatName val="0"/>
          <c:showSerName val="0"/>
          <c:showPercent val="0"/>
          <c:showBubbleSize val="0"/>
          <c:extLst>
            <c:ext xmlns:c15="http://schemas.microsoft.com/office/drawing/2012/chart" uri="{CE6537A1-D6FC-4f65-9D91-7224C49458BB}"/>
          </c:extLst>
        </c:dLbl>
      </c:pivotFmt>
      <c:pivotFmt>
        <c:idx val="84"/>
        <c:dLbl>
          <c:idx val="0"/>
          <c:showLegendKey val="0"/>
          <c:showVal val="0"/>
          <c:showCatName val="0"/>
          <c:showSerName val="0"/>
          <c:showPercent val="0"/>
          <c:showBubbleSize val="0"/>
          <c:extLst>
            <c:ext xmlns:c15="http://schemas.microsoft.com/office/drawing/2012/chart" uri="{CE6537A1-D6FC-4f65-9D91-7224C49458BB}"/>
          </c:extLst>
        </c:dLbl>
      </c:pivotFmt>
      <c:pivotFmt>
        <c:idx val="85"/>
        <c:dLbl>
          <c:idx val="0"/>
          <c:showLegendKey val="0"/>
          <c:showVal val="0"/>
          <c:showCatName val="0"/>
          <c:showSerName val="0"/>
          <c:showPercent val="0"/>
          <c:showBubbleSize val="0"/>
          <c:extLst>
            <c:ext xmlns:c15="http://schemas.microsoft.com/office/drawing/2012/chart" uri="{CE6537A1-D6FC-4f65-9D91-7224C49458BB}"/>
          </c:extLst>
        </c:dLbl>
      </c:pivotFmt>
      <c:pivotFmt>
        <c:idx val="86"/>
        <c:dLbl>
          <c:idx val="0"/>
          <c:showLegendKey val="0"/>
          <c:showVal val="0"/>
          <c:showCatName val="0"/>
          <c:showSerName val="0"/>
          <c:showPercent val="0"/>
          <c:showBubbleSize val="0"/>
          <c:extLst>
            <c:ext xmlns:c15="http://schemas.microsoft.com/office/drawing/2012/chart" uri="{CE6537A1-D6FC-4f65-9D91-7224C49458BB}"/>
          </c:extLst>
        </c:dLbl>
      </c:pivotFmt>
      <c:pivotFmt>
        <c:idx val="87"/>
        <c:dLbl>
          <c:idx val="0"/>
          <c:showLegendKey val="0"/>
          <c:showVal val="0"/>
          <c:showCatName val="0"/>
          <c:showSerName val="0"/>
          <c:showPercent val="0"/>
          <c:showBubbleSize val="0"/>
          <c:extLst>
            <c:ext xmlns:c15="http://schemas.microsoft.com/office/drawing/2012/chart" uri="{CE6537A1-D6FC-4f65-9D91-7224C49458BB}"/>
          </c:extLst>
        </c:dLbl>
      </c:pivotFmt>
      <c:pivotFmt>
        <c:idx val="88"/>
        <c:dLbl>
          <c:idx val="0"/>
          <c:showLegendKey val="0"/>
          <c:showVal val="0"/>
          <c:showCatName val="0"/>
          <c:showSerName val="0"/>
          <c:showPercent val="0"/>
          <c:showBubbleSize val="0"/>
          <c:extLst>
            <c:ext xmlns:c15="http://schemas.microsoft.com/office/drawing/2012/chart" uri="{CE6537A1-D6FC-4f65-9D91-7224C49458BB}"/>
          </c:extLst>
        </c:dLbl>
      </c:pivotFmt>
      <c:pivotFmt>
        <c:idx val="89"/>
        <c:dLbl>
          <c:idx val="0"/>
          <c:showLegendKey val="0"/>
          <c:showVal val="0"/>
          <c:showCatName val="0"/>
          <c:showSerName val="0"/>
          <c:showPercent val="0"/>
          <c:showBubbleSize val="0"/>
          <c:extLst>
            <c:ext xmlns:c15="http://schemas.microsoft.com/office/drawing/2012/chart" uri="{CE6537A1-D6FC-4f65-9D91-7224C49458BB}"/>
          </c:extLst>
        </c:dLbl>
      </c:pivotFmt>
      <c:pivotFmt>
        <c:idx val="90"/>
        <c:dLbl>
          <c:idx val="0"/>
          <c:showLegendKey val="0"/>
          <c:showVal val="0"/>
          <c:showCatName val="0"/>
          <c:showSerName val="0"/>
          <c:showPercent val="0"/>
          <c:showBubbleSize val="0"/>
          <c:extLst>
            <c:ext xmlns:c15="http://schemas.microsoft.com/office/drawing/2012/chart" uri="{CE6537A1-D6FC-4f65-9D91-7224C49458BB}"/>
          </c:extLst>
        </c:dLbl>
      </c:pivotFmt>
      <c:pivotFmt>
        <c:idx val="91"/>
        <c:dLbl>
          <c:idx val="0"/>
          <c:showLegendKey val="0"/>
          <c:showVal val="0"/>
          <c:showCatName val="0"/>
          <c:showSerName val="0"/>
          <c:showPercent val="0"/>
          <c:showBubbleSize val="0"/>
          <c:extLst>
            <c:ext xmlns:c15="http://schemas.microsoft.com/office/drawing/2012/chart" uri="{CE6537A1-D6FC-4f65-9D91-7224C49458BB}"/>
          </c:extLst>
        </c:dLbl>
      </c:pivotFmt>
      <c:pivotFmt>
        <c:idx val="92"/>
        <c:dLbl>
          <c:idx val="0"/>
          <c:showLegendKey val="0"/>
          <c:showVal val="0"/>
          <c:showCatName val="0"/>
          <c:showSerName val="0"/>
          <c:showPercent val="0"/>
          <c:showBubbleSize val="0"/>
          <c:extLst>
            <c:ext xmlns:c15="http://schemas.microsoft.com/office/drawing/2012/chart" uri="{CE6537A1-D6FC-4f65-9D91-7224C49458BB}"/>
          </c:extLst>
        </c:dLbl>
      </c:pivotFmt>
      <c:pivotFmt>
        <c:idx val="93"/>
        <c:dLbl>
          <c:idx val="0"/>
          <c:showLegendKey val="0"/>
          <c:showVal val="0"/>
          <c:showCatName val="0"/>
          <c:showSerName val="0"/>
          <c:showPercent val="0"/>
          <c:showBubbleSize val="0"/>
          <c:extLst>
            <c:ext xmlns:c15="http://schemas.microsoft.com/office/drawing/2012/chart" uri="{CE6537A1-D6FC-4f65-9D91-7224C49458BB}"/>
          </c:extLst>
        </c:dLbl>
      </c:pivotFmt>
      <c:pivotFmt>
        <c:idx val="94"/>
        <c:dLbl>
          <c:idx val="0"/>
          <c:showLegendKey val="0"/>
          <c:showVal val="0"/>
          <c:showCatName val="0"/>
          <c:showSerName val="0"/>
          <c:showPercent val="0"/>
          <c:showBubbleSize val="0"/>
          <c:extLst>
            <c:ext xmlns:c15="http://schemas.microsoft.com/office/drawing/2012/chart" uri="{CE6537A1-D6FC-4f65-9D91-7224C49458BB}"/>
          </c:extLst>
        </c:dLbl>
      </c:pivotFmt>
      <c:pivotFmt>
        <c:idx val="95"/>
        <c:dLbl>
          <c:idx val="0"/>
          <c:showLegendKey val="0"/>
          <c:showVal val="0"/>
          <c:showCatName val="0"/>
          <c:showSerName val="0"/>
          <c:showPercent val="0"/>
          <c:showBubbleSize val="0"/>
          <c:extLst>
            <c:ext xmlns:c15="http://schemas.microsoft.com/office/drawing/2012/chart" uri="{CE6537A1-D6FC-4f65-9D91-7224C49458BB}"/>
          </c:extLst>
        </c:dLbl>
      </c:pivotFmt>
      <c:pivotFmt>
        <c:idx val="96"/>
        <c:dLbl>
          <c:idx val="0"/>
          <c:showLegendKey val="0"/>
          <c:showVal val="0"/>
          <c:showCatName val="0"/>
          <c:showSerName val="0"/>
          <c:showPercent val="0"/>
          <c:showBubbleSize val="0"/>
          <c:extLst>
            <c:ext xmlns:c15="http://schemas.microsoft.com/office/drawing/2012/chart" uri="{CE6537A1-D6FC-4f65-9D91-7224C49458BB}"/>
          </c:extLst>
        </c:dLbl>
      </c:pivotFmt>
      <c:pivotFmt>
        <c:idx val="97"/>
        <c:dLbl>
          <c:idx val="0"/>
          <c:showLegendKey val="0"/>
          <c:showVal val="0"/>
          <c:showCatName val="0"/>
          <c:showSerName val="0"/>
          <c:showPercent val="0"/>
          <c:showBubbleSize val="0"/>
          <c:extLst>
            <c:ext xmlns:c15="http://schemas.microsoft.com/office/drawing/2012/chart" uri="{CE6537A1-D6FC-4f65-9D91-7224C49458BB}"/>
          </c:extLst>
        </c:dLbl>
      </c:pivotFmt>
      <c:pivotFmt>
        <c:idx val="98"/>
        <c:dLbl>
          <c:idx val="0"/>
          <c:showLegendKey val="0"/>
          <c:showVal val="0"/>
          <c:showCatName val="0"/>
          <c:showSerName val="0"/>
          <c:showPercent val="0"/>
          <c:showBubbleSize val="0"/>
          <c:extLst>
            <c:ext xmlns:c15="http://schemas.microsoft.com/office/drawing/2012/chart" uri="{CE6537A1-D6FC-4f65-9D91-7224C49458BB}"/>
          </c:extLst>
        </c:dLbl>
      </c:pivotFmt>
      <c:pivotFmt>
        <c:idx val="99"/>
        <c:dLbl>
          <c:idx val="0"/>
          <c:showLegendKey val="0"/>
          <c:showVal val="0"/>
          <c:showCatName val="0"/>
          <c:showSerName val="0"/>
          <c:showPercent val="0"/>
          <c:showBubbleSize val="0"/>
          <c:extLst>
            <c:ext xmlns:c15="http://schemas.microsoft.com/office/drawing/2012/chart" uri="{CE6537A1-D6FC-4f65-9D91-7224C49458BB}"/>
          </c:extLst>
        </c:dLbl>
      </c:pivotFmt>
      <c:pivotFmt>
        <c:idx val="100"/>
        <c:dLbl>
          <c:idx val="0"/>
          <c:showLegendKey val="0"/>
          <c:showVal val="0"/>
          <c:showCatName val="0"/>
          <c:showSerName val="0"/>
          <c:showPercent val="0"/>
          <c:showBubbleSize val="0"/>
          <c:extLst>
            <c:ext xmlns:c15="http://schemas.microsoft.com/office/drawing/2012/chart" uri="{CE6537A1-D6FC-4f65-9D91-7224C49458BB}"/>
          </c:extLst>
        </c:dLbl>
      </c:pivotFmt>
      <c:pivotFmt>
        <c:idx val="101"/>
        <c:dLbl>
          <c:idx val="0"/>
          <c:showLegendKey val="0"/>
          <c:showVal val="0"/>
          <c:showCatName val="0"/>
          <c:showSerName val="0"/>
          <c:showPercent val="0"/>
          <c:showBubbleSize val="0"/>
          <c:extLst>
            <c:ext xmlns:c15="http://schemas.microsoft.com/office/drawing/2012/chart" uri="{CE6537A1-D6FC-4f65-9D91-7224C49458BB}"/>
          </c:extLst>
        </c:dLbl>
      </c:pivotFmt>
      <c:pivotFmt>
        <c:idx val="102"/>
        <c:dLbl>
          <c:idx val="0"/>
          <c:showLegendKey val="0"/>
          <c:showVal val="0"/>
          <c:showCatName val="0"/>
          <c:showSerName val="0"/>
          <c:showPercent val="0"/>
          <c:showBubbleSize val="0"/>
          <c:extLst>
            <c:ext xmlns:c15="http://schemas.microsoft.com/office/drawing/2012/chart" uri="{CE6537A1-D6FC-4f65-9D91-7224C49458BB}"/>
          </c:extLst>
        </c:dLbl>
      </c:pivotFmt>
      <c:pivotFmt>
        <c:idx val="103"/>
        <c:dLbl>
          <c:idx val="0"/>
          <c:showLegendKey val="0"/>
          <c:showVal val="0"/>
          <c:showCatName val="0"/>
          <c:showSerName val="0"/>
          <c:showPercent val="0"/>
          <c:showBubbleSize val="0"/>
          <c:extLst>
            <c:ext xmlns:c15="http://schemas.microsoft.com/office/drawing/2012/chart" uri="{CE6537A1-D6FC-4f65-9D91-7224C49458BB}"/>
          </c:extLst>
        </c:dLbl>
      </c:pivotFmt>
      <c:pivotFmt>
        <c:idx val="104"/>
        <c:dLbl>
          <c:idx val="0"/>
          <c:showLegendKey val="0"/>
          <c:showVal val="0"/>
          <c:showCatName val="0"/>
          <c:showSerName val="0"/>
          <c:showPercent val="0"/>
          <c:showBubbleSize val="0"/>
          <c:extLst>
            <c:ext xmlns:c15="http://schemas.microsoft.com/office/drawing/2012/chart" uri="{CE6537A1-D6FC-4f65-9D91-7224C49458BB}"/>
          </c:extLst>
        </c:dLbl>
      </c:pivotFmt>
      <c:pivotFmt>
        <c:idx val="105"/>
        <c:dLbl>
          <c:idx val="0"/>
          <c:showLegendKey val="0"/>
          <c:showVal val="0"/>
          <c:showCatName val="0"/>
          <c:showSerName val="0"/>
          <c:showPercent val="0"/>
          <c:showBubbleSize val="0"/>
          <c:extLst>
            <c:ext xmlns:c15="http://schemas.microsoft.com/office/drawing/2012/chart" uri="{CE6537A1-D6FC-4f65-9D91-7224C49458BB}"/>
          </c:extLst>
        </c:dLbl>
      </c:pivotFmt>
      <c:pivotFmt>
        <c:idx val="106"/>
        <c:dLbl>
          <c:idx val="0"/>
          <c:showLegendKey val="0"/>
          <c:showVal val="0"/>
          <c:showCatName val="0"/>
          <c:showSerName val="0"/>
          <c:showPercent val="0"/>
          <c:showBubbleSize val="0"/>
          <c:extLst>
            <c:ext xmlns:c15="http://schemas.microsoft.com/office/drawing/2012/chart" uri="{CE6537A1-D6FC-4f65-9D91-7224C49458BB}"/>
          </c:extLst>
        </c:dLbl>
      </c:pivotFmt>
      <c:pivotFmt>
        <c:idx val="107"/>
        <c:dLbl>
          <c:idx val="0"/>
          <c:showLegendKey val="0"/>
          <c:showVal val="0"/>
          <c:showCatName val="0"/>
          <c:showSerName val="0"/>
          <c:showPercent val="0"/>
          <c:showBubbleSize val="0"/>
          <c:extLst>
            <c:ext xmlns:c15="http://schemas.microsoft.com/office/drawing/2012/chart" uri="{CE6537A1-D6FC-4f65-9D91-7224C49458BB}"/>
          </c:extLst>
        </c:dLbl>
      </c:pivotFmt>
      <c:pivotFmt>
        <c:idx val="108"/>
        <c:dLbl>
          <c:idx val="0"/>
          <c:showLegendKey val="0"/>
          <c:showVal val="0"/>
          <c:showCatName val="0"/>
          <c:showSerName val="0"/>
          <c:showPercent val="0"/>
          <c:showBubbleSize val="0"/>
          <c:extLst>
            <c:ext xmlns:c15="http://schemas.microsoft.com/office/drawing/2012/chart" uri="{CE6537A1-D6FC-4f65-9D91-7224C49458BB}"/>
          </c:extLst>
        </c:dLbl>
      </c:pivotFmt>
      <c:pivotFmt>
        <c:idx val="109"/>
        <c:dLbl>
          <c:idx val="0"/>
          <c:showLegendKey val="0"/>
          <c:showVal val="0"/>
          <c:showCatName val="0"/>
          <c:showSerName val="0"/>
          <c:showPercent val="0"/>
          <c:showBubbleSize val="0"/>
          <c:extLst>
            <c:ext xmlns:c15="http://schemas.microsoft.com/office/drawing/2012/chart" uri="{CE6537A1-D6FC-4f65-9D91-7224C49458BB}"/>
          </c:extLst>
        </c:dLbl>
      </c:pivotFmt>
      <c:pivotFmt>
        <c:idx val="110"/>
        <c:dLbl>
          <c:idx val="0"/>
          <c:showLegendKey val="0"/>
          <c:showVal val="0"/>
          <c:showCatName val="0"/>
          <c:showSerName val="0"/>
          <c:showPercent val="0"/>
          <c:showBubbleSize val="0"/>
          <c:extLst>
            <c:ext xmlns:c15="http://schemas.microsoft.com/office/drawing/2012/chart" uri="{CE6537A1-D6FC-4f65-9D91-7224C49458BB}"/>
          </c:extLst>
        </c:dLbl>
      </c:pivotFmt>
      <c:pivotFmt>
        <c:idx val="111"/>
        <c:dLbl>
          <c:idx val="0"/>
          <c:showLegendKey val="0"/>
          <c:showVal val="0"/>
          <c:showCatName val="0"/>
          <c:showSerName val="0"/>
          <c:showPercent val="0"/>
          <c:showBubbleSize val="0"/>
          <c:extLst>
            <c:ext xmlns:c15="http://schemas.microsoft.com/office/drawing/2012/chart" uri="{CE6537A1-D6FC-4f65-9D91-7224C49458BB}"/>
          </c:extLst>
        </c:dLbl>
      </c:pivotFmt>
      <c:pivotFmt>
        <c:idx val="112"/>
        <c:dLbl>
          <c:idx val="0"/>
          <c:showLegendKey val="0"/>
          <c:showVal val="0"/>
          <c:showCatName val="0"/>
          <c:showSerName val="0"/>
          <c:showPercent val="0"/>
          <c:showBubbleSize val="0"/>
          <c:extLst>
            <c:ext xmlns:c15="http://schemas.microsoft.com/office/drawing/2012/chart" uri="{CE6537A1-D6FC-4f65-9D91-7224C49458BB}"/>
          </c:extLst>
        </c:dLbl>
      </c:pivotFmt>
      <c:pivotFmt>
        <c:idx val="113"/>
        <c:dLbl>
          <c:idx val="0"/>
          <c:showLegendKey val="0"/>
          <c:showVal val="0"/>
          <c:showCatName val="0"/>
          <c:showSerName val="0"/>
          <c:showPercent val="0"/>
          <c:showBubbleSize val="0"/>
          <c:extLst>
            <c:ext xmlns:c15="http://schemas.microsoft.com/office/drawing/2012/chart" uri="{CE6537A1-D6FC-4f65-9D91-7224C49458BB}"/>
          </c:extLst>
        </c:dLbl>
      </c:pivotFmt>
      <c:pivotFmt>
        <c:idx val="114"/>
        <c:dLbl>
          <c:idx val="0"/>
          <c:showLegendKey val="0"/>
          <c:showVal val="0"/>
          <c:showCatName val="0"/>
          <c:showSerName val="0"/>
          <c:showPercent val="0"/>
          <c:showBubbleSize val="0"/>
          <c:extLst>
            <c:ext xmlns:c15="http://schemas.microsoft.com/office/drawing/2012/chart" uri="{CE6537A1-D6FC-4f65-9D91-7224C49458BB}"/>
          </c:extLst>
        </c:dLbl>
      </c:pivotFmt>
      <c:pivotFmt>
        <c:idx val="115"/>
        <c:dLbl>
          <c:idx val="0"/>
          <c:showLegendKey val="0"/>
          <c:showVal val="0"/>
          <c:showCatName val="0"/>
          <c:showSerName val="0"/>
          <c:showPercent val="0"/>
          <c:showBubbleSize val="0"/>
          <c:extLst>
            <c:ext xmlns:c15="http://schemas.microsoft.com/office/drawing/2012/chart" uri="{CE6537A1-D6FC-4f65-9D91-7224C49458BB}"/>
          </c:extLst>
        </c:dLbl>
      </c:pivotFmt>
      <c:pivotFmt>
        <c:idx val="116"/>
        <c:dLbl>
          <c:idx val="0"/>
          <c:showLegendKey val="0"/>
          <c:showVal val="0"/>
          <c:showCatName val="0"/>
          <c:showSerName val="0"/>
          <c:showPercent val="0"/>
          <c:showBubbleSize val="0"/>
          <c:extLst>
            <c:ext xmlns:c15="http://schemas.microsoft.com/office/drawing/2012/chart" uri="{CE6537A1-D6FC-4f65-9D91-7224C49458BB}"/>
          </c:extLst>
        </c:dLbl>
      </c:pivotFmt>
      <c:pivotFmt>
        <c:idx val="117"/>
        <c:dLbl>
          <c:idx val="0"/>
          <c:showLegendKey val="0"/>
          <c:showVal val="0"/>
          <c:showCatName val="0"/>
          <c:showSerName val="0"/>
          <c:showPercent val="0"/>
          <c:showBubbleSize val="0"/>
          <c:extLst>
            <c:ext xmlns:c15="http://schemas.microsoft.com/office/drawing/2012/chart" uri="{CE6537A1-D6FC-4f65-9D91-7224C49458BB}"/>
          </c:extLst>
        </c:dLbl>
      </c:pivotFmt>
      <c:pivotFmt>
        <c:idx val="118"/>
        <c:dLbl>
          <c:idx val="0"/>
          <c:showLegendKey val="0"/>
          <c:showVal val="0"/>
          <c:showCatName val="0"/>
          <c:showSerName val="0"/>
          <c:showPercent val="0"/>
          <c:showBubbleSize val="0"/>
          <c:extLst>
            <c:ext xmlns:c15="http://schemas.microsoft.com/office/drawing/2012/chart" uri="{CE6537A1-D6FC-4f65-9D91-7224C49458BB}"/>
          </c:extLst>
        </c:dLbl>
      </c:pivotFmt>
      <c:pivotFmt>
        <c:idx val="119"/>
        <c:dLbl>
          <c:idx val="0"/>
          <c:showLegendKey val="0"/>
          <c:showVal val="0"/>
          <c:showCatName val="0"/>
          <c:showSerName val="0"/>
          <c:showPercent val="0"/>
          <c:showBubbleSize val="0"/>
          <c:extLst>
            <c:ext xmlns:c15="http://schemas.microsoft.com/office/drawing/2012/chart" uri="{CE6537A1-D6FC-4f65-9D91-7224C49458BB}"/>
          </c:extLst>
        </c:dLbl>
      </c:pivotFmt>
      <c:pivotFmt>
        <c:idx val="120"/>
        <c:dLbl>
          <c:idx val="0"/>
          <c:showLegendKey val="0"/>
          <c:showVal val="0"/>
          <c:showCatName val="0"/>
          <c:showSerName val="0"/>
          <c:showPercent val="0"/>
          <c:showBubbleSize val="0"/>
          <c:extLst>
            <c:ext xmlns:c15="http://schemas.microsoft.com/office/drawing/2012/chart" uri="{CE6537A1-D6FC-4f65-9D91-7224C49458BB}"/>
          </c:extLst>
        </c:dLbl>
      </c:pivotFmt>
      <c:pivotFmt>
        <c:idx val="121"/>
        <c:dLbl>
          <c:idx val="0"/>
          <c:showLegendKey val="0"/>
          <c:showVal val="0"/>
          <c:showCatName val="0"/>
          <c:showSerName val="0"/>
          <c:showPercent val="0"/>
          <c:showBubbleSize val="0"/>
          <c:extLst>
            <c:ext xmlns:c15="http://schemas.microsoft.com/office/drawing/2012/chart" uri="{CE6537A1-D6FC-4f65-9D91-7224C49458BB}"/>
          </c:extLst>
        </c:dLbl>
      </c:pivotFmt>
      <c:pivotFmt>
        <c:idx val="122"/>
        <c:dLbl>
          <c:idx val="0"/>
          <c:showLegendKey val="0"/>
          <c:showVal val="0"/>
          <c:showCatName val="0"/>
          <c:showSerName val="0"/>
          <c:showPercent val="0"/>
          <c:showBubbleSize val="0"/>
          <c:extLst>
            <c:ext xmlns:c15="http://schemas.microsoft.com/office/drawing/2012/chart" uri="{CE6537A1-D6FC-4f65-9D91-7224C49458BB}"/>
          </c:extLst>
        </c:dLbl>
      </c:pivotFmt>
      <c:pivotFmt>
        <c:idx val="123"/>
        <c:dLbl>
          <c:idx val="0"/>
          <c:showLegendKey val="0"/>
          <c:showVal val="0"/>
          <c:showCatName val="0"/>
          <c:showSerName val="0"/>
          <c:showPercent val="0"/>
          <c:showBubbleSize val="0"/>
          <c:extLst>
            <c:ext xmlns:c15="http://schemas.microsoft.com/office/drawing/2012/chart" uri="{CE6537A1-D6FC-4f65-9D91-7224C49458BB}"/>
          </c:extLst>
        </c:dLbl>
      </c:pivotFmt>
      <c:pivotFmt>
        <c:idx val="124"/>
        <c:dLbl>
          <c:idx val="0"/>
          <c:showLegendKey val="0"/>
          <c:showVal val="0"/>
          <c:showCatName val="0"/>
          <c:showSerName val="0"/>
          <c:showPercent val="0"/>
          <c:showBubbleSize val="0"/>
          <c:extLst>
            <c:ext xmlns:c15="http://schemas.microsoft.com/office/drawing/2012/chart" uri="{CE6537A1-D6FC-4f65-9D91-7224C49458BB}"/>
          </c:extLst>
        </c:dLbl>
      </c:pivotFmt>
      <c:pivotFmt>
        <c:idx val="125"/>
        <c:dLbl>
          <c:idx val="0"/>
          <c:showLegendKey val="0"/>
          <c:showVal val="0"/>
          <c:showCatName val="0"/>
          <c:showSerName val="0"/>
          <c:showPercent val="0"/>
          <c:showBubbleSize val="0"/>
          <c:extLst>
            <c:ext xmlns:c15="http://schemas.microsoft.com/office/drawing/2012/chart" uri="{CE6537A1-D6FC-4f65-9D91-7224C49458BB}"/>
          </c:extLst>
        </c:dLbl>
      </c:pivotFmt>
      <c:pivotFmt>
        <c:idx val="126"/>
        <c:dLbl>
          <c:idx val="0"/>
          <c:showLegendKey val="0"/>
          <c:showVal val="0"/>
          <c:showCatName val="0"/>
          <c:showSerName val="0"/>
          <c:showPercent val="0"/>
          <c:showBubbleSize val="0"/>
          <c:extLst>
            <c:ext xmlns:c15="http://schemas.microsoft.com/office/drawing/2012/chart" uri="{CE6537A1-D6FC-4f65-9D91-7224C49458BB}"/>
          </c:extLst>
        </c:dLbl>
      </c:pivotFmt>
      <c:pivotFmt>
        <c:idx val="127"/>
        <c:dLbl>
          <c:idx val="0"/>
          <c:showLegendKey val="0"/>
          <c:showVal val="0"/>
          <c:showCatName val="0"/>
          <c:showSerName val="0"/>
          <c:showPercent val="0"/>
          <c:showBubbleSize val="0"/>
          <c:extLst>
            <c:ext xmlns:c15="http://schemas.microsoft.com/office/drawing/2012/chart" uri="{CE6537A1-D6FC-4f65-9D91-7224C49458BB}"/>
          </c:extLst>
        </c:dLbl>
      </c:pivotFmt>
      <c:pivotFmt>
        <c:idx val="128"/>
        <c:dLbl>
          <c:idx val="0"/>
          <c:showLegendKey val="0"/>
          <c:showVal val="0"/>
          <c:showCatName val="0"/>
          <c:showSerName val="0"/>
          <c:showPercent val="0"/>
          <c:showBubbleSize val="0"/>
          <c:extLst>
            <c:ext xmlns:c15="http://schemas.microsoft.com/office/drawing/2012/chart" uri="{CE6537A1-D6FC-4f65-9D91-7224C49458BB}"/>
          </c:extLst>
        </c:dLbl>
      </c:pivotFmt>
      <c:pivotFmt>
        <c:idx val="129"/>
        <c:dLbl>
          <c:idx val="0"/>
          <c:showLegendKey val="0"/>
          <c:showVal val="0"/>
          <c:showCatName val="0"/>
          <c:showSerName val="0"/>
          <c:showPercent val="0"/>
          <c:showBubbleSize val="0"/>
          <c:extLst>
            <c:ext xmlns:c15="http://schemas.microsoft.com/office/drawing/2012/chart" uri="{CE6537A1-D6FC-4f65-9D91-7224C49458BB}"/>
          </c:extLst>
        </c:dLbl>
      </c:pivotFmt>
      <c:pivotFmt>
        <c:idx val="130"/>
        <c:dLbl>
          <c:idx val="0"/>
          <c:showLegendKey val="0"/>
          <c:showVal val="0"/>
          <c:showCatName val="0"/>
          <c:showSerName val="0"/>
          <c:showPercent val="0"/>
          <c:showBubbleSize val="0"/>
          <c:extLst>
            <c:ext xmlns:c15="http://schemas.microsoft.com/office/drawing/2012/chart" uri="{CE6537A1-D6FC-4f65-9D91-7224C49458BB}"/>
          </c:extLst>
        </c:dLbl>
      </c:pivotFmt>
      <c:pivotFmt>
        <c:idx val="131"/>
        <c:dLbl>
          <c:idx val="0"/>
          <c:showLegendKey val="0"/>
          <c:showVal val="0"/>
          <c:showCatName val="0"/>
          <c:showSerName val="0"/>
          <c:showPercent val="0"/>
          <c:showBubbleSize val="0"/>
          <c:extLst>
            <c:ext xmlns:c15="http://schemas.microsoft.com/office/drawing/2012/chart" uri="{CE6537A1-D6FC-4f65-9D91-7224C49458BB}"/>
          </c:extLst>
        </c:dLbl>
      </c:pivotFmt>
      <c:pivotFmt>
        <c:idx val="132"/>
        <c:dLbl>
          <c:idx val="0"/>
          <c:showLegendKey val="0"/>
          <c:showVal val="0"/>
          <c:showCatName val="0"/>
          <c:showSerName val="0"/>
          <c:showPercent val="0"/>
          <c:showBubbleSize val="0"/>
          <c:extLst>
            <c:ext xmlns:c15="http://schemas.microsoft.com/office/drawing/2012/chart" uri="{CE6537A1-D6FC-4f65-9D91-7224C49458BB}"/>
          </c:extLst>
        </c:dLbl>
      </c:pivotFmt>
      <c:pivotFmt>
        <c:idx val="133"/>
        <c:dLbl>
          <c:idx val="0"/>
          <c:showLegendKey val="0"/>
          <c:showVal val="0"/>
          <c:showCatName val="0"/>
          <c:showSerName val="0"/>
          <c:showPercent val="0"/>
          <c:showBubbleSize val="0"/>
          <c:extLst>
            <c:ext xmlns:c15="http://schemas.microsoft.com/office/drawing/2012/chart" uri="{CE6537A1-D6FC-4f65-9D91-7224C49458BB}"/>
          </c:extLst>
        </c:dLbl>
      </c:pivotFmt>
      <c:pivotFmt>
        <c:idx val="134"/>
        <c:dLbl>
          <c:idx val="0"/>
          <c:showLegendKey val="0"/>
          <c:showVal val="0"/>
          <c:showCatName val="0"/>
          <c:showSerName val="0"/>
          <c:showPercent val="0"/>
          <c:showBubbleSize val="0"/>
          <c:extLst>
            <c:ext xmlns:c15="http://schemas.microsoft.com/office/drawing/2012/chart" uri="{CE6537A1-D6FC-4f65-9D91-7224C49458BB}"/>
          </c:extLst>
        </c:dLbl>
      </c:pivotFmt>
      <c:pivotFmt>
        <c:idx val="135"/>
        <c:dLbl>
          <c:idx val="0"/>
          <c:showLegendKey val="0"/>
          <c:showVal val="0"/>
          <c:showCatName val="0"/>
          <c:showSerName val="0"/>
          <c:showPercent val="0"/>
          <c:showBubbleSize val="0"/>
          <c:extLst>
            <c:ext xmlns:c15="http://schemas.microsoft.com/office/drawing/2012/chart" uri="{CE6537A1-D6FC-4f65-9D91-7224C49458BB}"/>
          </c:extLst>
        </c:dLbl>
      </c:pivotFmt>
      <c:pivotFmt>
        <c:idx val="136"/>
        <c:dLbl>
          <c:idx val="0"/>
          <c:showLegendKey val="0"/>
          <c:showVal val="0"/>
          <c:showCatName val="0"/>
          <c:showSerName val="0"/>
          <c:showPercent val="0"/>
          <c:showBubbleSize val="0"/>
          <c:extLst>
            <c:ext xmlns:c15="http://schemas.microsoft.com/office/drawing/2012/chart" uri="{CE6537A1-D6FC-4f65-9D91-7224C49458BB}"/>
          </c:extLst>
        </c:dLbl>
      </c:pivotFmt>
      <c:pivotFmt>
        <c:idx val="137"/>
        <c:dLbl>
          <c:idx val="0"/>
          <c:showLegendKey val="0"/>
          <c:showVal val="0"/>
          <c:showCatName val="0"/>
          <c:showSerName val="0"/>
          <c:showPercent val="0"/>
          <c:showBubbleSize val="0"/>
          <c:extLst>
            <c:ext xmlns:c15="http://schemas.microsoft.com/office/drawing/2012/chart" uri="{CE6537A1-D6FC-4f65-9D91-7224C49458BB}"/>
          </c:extLst>
        </c:dLbl>
      </c:pivotFmt>
      <c:pivotFmt>
        <c:idx val="138"/>
        <c:dLbl>
          <c:idx val="0"/>
          <c:showLegendKey val="0"/>
          <c:showVal val="0"/>
          <c:showCatName val="0"/>
          <c:showSerName val="0"/>
          <c:showPercent val="0"/>
          <c:showBubbleSize val="0"/>
          <c:extLst>
            <c:ext xmlns:c15="http://schemas.microsoft.com/office/drawing/2012/chart" uri="{CE6537A1-D6FC-4f65-9D91-7224C49458BB}"/>
          </c:extLst>
        </c:dLbl>
      </c:pivotFmt>
      <c:pivotFmt>
        <c:idx val="139"/>
        <c:dLbl>
          <c:idx val="0"/>
          <c:showLegendKey val="0"/>
          <c:showVal val="0"/>
          <c:showCatName val="0"/>
          <c:showSerName val="0"/>
          <c:showPercent val="0"/>
          <c:showBubbleSize val="0"/>
          <c:extLst>
            <c:ext xmlns:c15="http://schemas.microsoft.com/office/drawing/2012/chart" uri="{CE6537A1-D6FC-4f65-9D91-7224C49458BB}"/>
          </c:extLst>
        </c:dLbl>
      </c:pivotFmt>
      <c:pivotFmt>
        <c:idx val="140"/>
        <c:dLbl>
          <c:idx val="0"/>
          <c:showLegendKey val="0"/>
          <c:showVal val="0"/>
          <c:showCatName val="0"/>
          <c:showSerName val="0"/>
          <c:showPercent val="0"/>
          <c:showBubbleSize val="0"/>
          <c:extLst>
            <c:ext xmlns:c15="http://schemas.microsoft.com/office/drawing/2012/chart" uri="{CE6537A1-D6FC-4f65-9D91-7224C49458BB}"/>
          </c:extLst>
        </c:dLbl>
      </c:pivotFmt>
      <c:pivotFmt>
        <c:idx val="141"/>
        <c:dLbl>
          <c:idx val="0"/>
          <c:showLegendKey val="0"/>
          <c:showVal val="0"/>
          <c:showCatName val="0"/>
          <c:showSerName val="0"/>
          <c:showPercent val="0"/>
          <c:showBubbleSize val="0"/>
          <c:extLst>
            <c:ext xmlns:c15="http://schemas.microsoft.com/office/drawing/2012/chart" uri="{CE6537A1-D6FC-4f65-9D91-7224C49458BB}"/>
          </c:extLst>
        </c:dLbl>
      </c:pivotFmt>
      <c:pivotFmt>
        <c:idx val="142"/>
        <c:dLbl>
          <c:idx val="0"/>
          <c:showLegendKey val="0"/>
          <c:showVal val="0"/>
          <c:showCatName val="0"/>
          <c:showSerName val="0"/>
          <c:showPercent val="0"/>
          <c:showBubbleSize val="0"/>
          <c:extLst>
            <c:ext xmlns:c15="http://schemas.microsoft.com/office/drawing/2012/chart" uri="{CE6537A1-D6FC-4f65-9D91-7224C49458BB}"/>
          </c:extLst>
        </c:dLbl>
      </c:pivotFmt>
      <c:pivotFmt>
        <c:idx val="143"/>
        <c:dLbl>
          <c:idx val="0"/>
          <c:showLegendKey val="0"/>
          <c:showVal val="0"/>
          <c:showCatName val="0"/>
          <c:showSerName val="0"/>
          <c:showPercent val="0"/>
          <c:showBubbleSize val="0"/>
          <c:extLst>
            <c:ext xmlns:c15="http://schemas.microsoft.com/office/drawing/2012/chart" uri="{CE6537A1-D6FC-4f65-9D91-7224C49458BB}"/>
          </c:extLst>
        </c:dLbl>
      </c:pivotFmt>
      <c:pivotFmt>
        <c:idx val="144"/>
        <c:dLbl>
          <c:idx val="0"/>
          <c:showLegendKey val="0"/>
          <c:showVal val="0"/>
          <c:showCatName val="0"/>
          <c:showSerName val="0"/>
          <c:showPercent val="0"/>
          <c:showBubbleSize val="0"/>
          <c:extLst>
            <c:ext xmlns:c15="http://schemas.microsoft.com/office/drawing/2012/chart" uri="{CE6537A1-D6FC-4f65-9D91-7224C49458BB}"/>
          </c:extLst>
        </c:dLbl>
      </c:pivotFmt>
      <c:pivotFmt>
        <c:idx val="145"/>
        <c:dLbl>
          <c:idx val="0"/>
          <c:showLegendKey val="0"/>
          <c:showVal val="0"/>
          <c:showCatName val="0"/>
          <c:showSerName val="0"/>
          <c:showPercent val="0"/>
          <c:showBubbleSize val="0"/>
          <c:extLst>
            <c:ext xmlns:c15="http://schemas.microsoft.com/office/drawing/2012/chart" uri="{CE6537A1-D6FC-4f65-9D91-7224C49458BB}"/>
          </c:extLst>
        </c:dLbl>
      </c:pivotFmt>
      <c:pivotFmt>
        <c:idx val="146"/>
        <c:dLbl>
          <c:idx val="0"/>
          <c:showLegendKey val="0"/>
          <c:showVal val="0"/>
          <c:showCatName val="0"/>
          <c:showSerName val="0"/>
          <c:showPercent val="0"/>
          <c:showBubbleSize val="0"/>
          <c:extLst>
            <c:ext xmlns:c15="http://schemas.microsoft.com/office/drawing/2012/chart" uri="{CE6537A1-D6FC-4f65-9D91-7224C49458BB}"/>
          </c:extLst>
        </c:dLbl>
      </c:pivotFmt>
      <c:pivotFmt>
        <c:idx val="147"/>
        <c:dLbl>
          <c:idx val="0"/>
          <c:showLegendKey val="0"/>
          <c:showVal val="0"/>
          <c:showCatName val="0"/>
          <c:showSerName val="0"/>
          <c:showPercent val="0"/>
          <c:showBubbleSize val="0"/>
          <c:extLst>
            <c:ext xmlns:c15="http://schemas.microsoft.com/office/drawing/2012/chart" uri="{CE6537A1-D6FC-4f65-9D91-7224C49458BB}"/>
          </c:extLst>
        </c:dLbl>
      </c:pivotFmt>
      <c:pivotFmt>
        <c:idx val="148"/>
        <c:dLbl>
          <c:idx val="0"/>
          <c:showLegendKey val="0"/>
          <c:showVal val="0"/>
          <c:showCatName val="0"/>
          <c:showSerName val="0"/>
          <c:showPercent val="0"/>
          <c:showBubbleSize val="0"/>
          <c:extLst>
            <c:ext xmlns:c15="http://schemas.microsoft.com/office/drawing/2012/chart" uri="{CE6537A1-D6FC-4f65-9D91-7224C49458BB}"/>
          </c:extLst>
        </c:dLbl>
      </c:pivotFmt>
      <c:pivotFmt>
        <c:idx val="149"/>
        <c:dLbl>
          <c:idx val="0"/>
          <c:showLegendKey val="0"/>
          <c:showVal val="0"/>
          <c:showCatName val="0"/>
          <c:showSerName val="0"/>
          <c:showPercent val="0"/>
          <c:showBubbleSize val="0"/>
          <c:extLst>
            <c:ext xmlns:c15="http://schemas.microsoft.com/office/drawing/2012/chart" uri="{CE6537A1-D6FC-4f65-9D91-7224C49458BB}"/>
          </c:extLst>
        </c:dLbl>
      </c:pivotFmt>
      <c:pivotFmt>
        <c:idx val="150"/>
        <c:dLbl>
          <c:idx val="0"/>
          <c:showLegendKey val="0"/>
          <c:showVal val="0"/>
          <c:showCatName val="0"/>
          <c:showSerName val="0"/>
          <c:showPercent val="0"/>
          <c:showBubbleSize val="0"/>
          <c:extLst>
            <c:ext xmlns:c15="http://schemas.microsoft.com/office/drawing/2012/chart" uri="{CE6537A1-D6FC-4f65-9D91-7224C49458BB}"/>
          </c:extLst>
        </c:dLbl>
      </c:pivotFmt>
      <c:pivotFmt>
        <c:idx val="151"/>
        <c:dLbl>
          <c:idx val="0"/>
          <c:showLegendKey val="0"/>
          <c:showVal val="0"/>
          <c:showCatName val="0"/>
          <c:showSerName val="0"/>
          <c:showPercent val="0"/>
          <c:showBubbleSize val="0"/>
          <c:extLst>
            <c:ext xmlns:c15="http://schemas.microsoft.com/office/drawing/2012/chart" uri="{CE6537A1-D6FC-4f65-9D91-7224C49458BB}"/>
          </c:extLst>
        </c:dLbl>
      </c:pivotFmt>
      <c:pivotFmt>
        <c:idx val="152"/>
        <c:dLbl>
          <c:idx val="0"/>
          <c:showLegendKey val="0"/>
          <c:showVal val="0"/>
          <c:showCatName val="0"/>
          <c:showSerName val="0"/>
          <c:showPercent val="0"/>
          <c:showBubbleSize val="0"/>
          <c:extLst>
            <c:ext xmlns:c15="http://schemas.microsoft.com/office/drawing/2012/chart" uri="{CE6537A1-D6FC-4f65-9D91-7224C49458BB}"/>
          </c:extLst>
        </c:dLbl>
      </c:pivotFmt>
      <c:pivotFmt>
        <c:idx val="153"/>
        <c:dLbl>
          <c:idx val="0"/>
          <c:showLegendKey val="0"/>
          <c:showVal val="0"/>
          <c:showCatName val="0"/>
          <c:showSerName val="0"/>
          <c:showPercent val="0"/>
          <c:showBubbleSize val="0"/>
          <c:extLst>
            <c:ext xmlns:c15="http://schemas.microsoft.com/office/drawing/2012/chart" uri="{CE6537A1-D6FC-4f65-9D91-7224C49458BB}"/>
          </c:extLst>
        </c:dLbl>
      </c:pivotFmt>
      <c:pivotFmt>
        <c:idx val="154"/>
        <c:dLbl>
          <c:idx val="0"/>
          <c:showLegendKey val="0"/>
          <c:showVal val="0"/>
          <c:showCatName val="0"/>
          <c:showSerName val="0"/>
          <c:showPercent val="0"/>
          <c:showBubbleSize val="0"/>
          <c:extLst>
            <c:ext xmlns:c15="http://schemas.microsoft.com/office/drawing/2012/chart" uri="{CE6537A1-D6FC-4f65-9D91-7224C49458BB}"/>
          </c:extLst>
        </c:dLbl>
      </c:pivotFmt>
      <c:pivotFmt>
        <c:idx val="155"/>
        <c:dLbl>
          <c:idx val="0"/>
          <c:showLegendKey val="0"/>
          <c:showVal val="0"/>
          <c:showCatName val="0"/>
          <c:showSerName val="0"/>
          <c:showPercent val="0"/>
          <c:showBubbleSize val="0"/>
          <c:extLst>
            <c:ext xmlns:c15="http://schemas.microsoft.com/office/drawing/2012/chart" uri="{CE6537A1-D6FC-4f65-9D91-7224C49458BB}"/>
          </c:extLst>
        </c:dLbl>
      </c:pivotFmt>
      <c:pivotFmt>
        <c:idx val="156"/>
        <c:dLbl>
          <c:idx val="0"/>
          <c:showLegendKey val="0"/>
          <c:showVal val="0"/>
          <c:showCatName val="0"/>
          <c:showSerName val="0"/>
          <c:showPercent val="0"/>
          <c:showBubbleSize val="0"/>
          <c:extLst>
            <c:ext xmlns:c15="http://schemas.microsoft.com/office/drawing/2012/chart" uri="{CE6537A1-D6FC-4f65-9D91-7224C49458BB}"/>
          </c:extLst>
        </c:dLbl>
      </c:pivotFmt>
      <c:pivotFmt>
        <c:idx val="157"/>
        <c:dLbl>
          <c:idx val="0"/>
          <c:showLegendKey val="0"/>
          <c:showVal val="0"/>
          <c:showCatName val="0"/>
          <c:showSerName val="0"/>
          <c:showPercent val="0"/>
          <c:showBubbleSize val="0"/>
          <c:extLst>
            <c:ext xmlns:c15="http://schemas.microsoft.com/office/drawing/2012/chart" uri="{CE6537A1-D6FC-4f65-9D91-7224C49458BB}"/>
          </c:extLst>
        </c:dLbl>
      </c:pivotFmt>
      <c:pivotFmt>
        <c:idx val="158"/>
        <c:dLbl>
          <c:idx val="0"/>
          <c:showLegendKey val="0"/>
          <c:showVal val="0"/>
          <c:showCatName val="0"/>
          <c:showSerName val="0"/>
          <c:showPercent val="0"/>
          <c:showBubbleSize val="0"/>
          <c:extLst>
            <c:ext xmlns:c15="http://schemas.microsoft.com/office/drawing/2012/chart" uri="{CE6537A1-D6FC-4f65-9D91-7224C49458BB}"/>
          </c:extLst>
        </c:dLbl>
      </c:pivotFmt>
      <c:pivotFmt>
        <c:idx val="159"/>
        <c:dLbl>
          <c:idx val="0"/>
          <c:showLegendKey val="0"/>
          <c:showVal val="0"/>
          <c:showCatName val="0"/>
          <c:showSerName val="0"/>
          <c:showPercent val="0"/>
          <c:showBubbleSize val="0"/>
          <c:extLst>
            <c:ext xmlns:c15="http://schemas.microsoft.com/office/drawing/2012/chart" uri="{CE6537A1-D6FC-4f65-9D91-7224C49458BB}"/>
          </c:extLst>
        </c:dLbl>
      </c:pivotFmt>
      <c:pivotFmt>
        <c:idx val="160"/>
        <c:dLbl>
          <c:idx val="0"/>
          <c:showLegendKey val="0"/>
          <c:showVal val="0"/>
          <c:showCatName val="0"/>
          <c:showSerName val="0"/>
          <c:showPercent val="0"/>
          <c:showBubbleSize val="0"/>
          <c:extLst>
            <c:ext xmlns:c15="http://schemas.microsoft.com/office/drawing/2012/chart" uri="{CE6537A1-D6FC-4f65-9D91-7224C49458BB}"/>
          </c:extLst>
        </c:dLbl>
      </c:pivotFmt>
      <c:pivotFmt>
        <c:idx val="161"/>
        <c:dLbl>
          <c:idx val="0"/>
          <c:showLegendKey val="0"/>
          <c:showVal val="0"/>
          <c:showCatName val="0"/>
          <c:showSerName val="0"/>
          <c:showPercent val="0"/>
          <c:showBubbleSize val="0"/>
          <c:extLst>
            <c:ext xmlns:c15="http://schemas.microsoft.com/office/drawing/2012/chart" uri="{CE6537A1-D6FC-4f65-9D91-7224C49458BB}"/>
          </c:extLst>
        </c:dLbl>
      </c:pivotFmt>
      <c:pivotFmt>
        <c:idx val="162"/>
        <c:dLbl>
          <c:idx val="0"/>
          <c:showLegendKey val="0"/>
          <c:showVal val="0"/>
          <c:showCatName val="0"/>
          <c:showSerName val="0"/>
          <c:showPercent val="0"/>
          <c:showBubbleSize val="0"/>
          <c:extLst>
            <c:ext xmlns:c15="http://schemas.microsoft.com/office/drawing/2012/chart" uri="{CE6537A1-D6FC-4f65-9D91-7224C49458BB}"/>
          </c:extLst>
        </c:dLbl>
      </c:pivotFmt>
      <c:pivotFmt>
        <c:idx val="163"/>
        <c:dLbl>
          <c:idx val="0"/>
          <c:showLegendKey val="0"/>
          <c:showVal val="0"/>
          <c:showCatName val="0"/>
          <c:showSerName val="0"/>
          <c:showPercent val="0"/>
          <c:showBubbleSize val="0"/>
          <c:extLst>
            <c:ext xmlns:c15="http://schemas.microsoft.com/office/drawing/2012/chart" uri="{CE6537A1-D6FC-4f65-9D91-7224C49458BB}"/>
          </c:extLst>
        </c:dLbl>
      </c:pivotFmt>
      <c:pivotFmt>
        <c:idx val="164"/>
        <c:dLbl>
          <c:idx val="0"/>
          <c:showLegendKey val="0"/>
          <c:showVal val="0"/>
          <c:showCatName val="0"/>
          <c:showSerName val="0"/>
          <c:showPercent val="0"/>
          <c:showBubbleSize val="0"/>
          <c:extLst>
            <c:ext xmlns:c15="http://schemas.microsoft.com/office/drawing/2012/chart" uri="{CE6537A1-D6FC-4f65-9D91-7224C49458BB}"/>
          </c:extLst>
        </c:dLbl>
      </c:pivotFmt>
      <c:pivotFmt>
        <c:idx val="165"/>
        <c:dLbl>
          <c:idx val="0"/>
          <c:showLegendKey val="0"/>
          <c:showVal val="0"/>
          <c:showCatName val="0"/>
          <c:showSerName val="0"/>
          <c:showPercent val="0"/>
          <c:showBubbleSize val="0"/>
          <c:extLst>
            <c:ext xmlns:c15="http://schemas.microsoft.com/office/drawing/2012/chart" uri="{CE6537A1-D6FC-4f65-9D91-7224C49458BB}"/>
          </c:extLst>
        </c:dLbl>
      </c:pivotFmt>
      <c:pivotFmt>
        <c:idx val="166"/>
        <c:dLbl>
          <c:idx val="0"/>
          <c:showLegendKey val="0"/>
          <c:showVal val="0"/>
          <c:showCatName val="0"/>
          <c:showSerName val="0"/>
          <c:showPercent val="0"/>
          <c:showBubbleSize val="0"/>
          <c:extLst>
            <c:ext xmlns:c15="http://schemas.microsoft.com/office/drawing/2012/chart" uri="{CE6537A1-D6FC-4f65-9D91-7224C49458BB}"/>
          </c:extLst>
        </c:dLbl>
      </c:pivotFmt>
      <c:pivotFmt>
        <c:idx val="167"/>
        <c:dLbl>
          <c:idx val="0"/>
          <c:showLegendKey val="0"/>
          <c:showVal val="0"/>
          <c:showCatName val="0"/>
          <c:showSerName val="0"/>
          <c:showPercent val="0"/>
          <c:showBubbleSize val="0"/>
          <c:extLst>
            <c:ext xmlns:c15="http://schemas.microsoft.com/office/drawing/2012/chart" uri="{CE6537A1-D6FC-4f65-9D91-7224C49458BB}"/>
          </c:extLst>
        </c:dLbl>
      </c:pivotFmt>
      <c:pivotFmt>
        <c:idx val="168"/>
        <c:dLbl>
          <c:idx val="0"/>
          <c:showLegendKey val="0"/>
          <c:showVal val="0"/>
          <c:showCatName val="0"/>
          <c:showSerName val="0"/>
          <c:showPercent val="0"/>
          <c:showBubbleSize val="0"/>
          <c:extLst>
            <c:ext xmlns:c15="http://schemas.microsoft.com/office/drawing/2012/chart" uri="{CE6537A1-D6FC-4f65-9D91-7224C49458BB}"/>
          </c:extLst>
        </c:dLbl>
      </c:pivotFmt>
      <c:pivotFmt>
        <c:idx val="169"/>
        <c:dLbl>
          <c:idx val="0"/>
          <c:showLegendKey val="0"/>
          <c:showVal val="0"/>
          <c:showCatName val="0"/>
          <c:showSerName val="0"/>
          <c:showPercent val="0"/>
          <c:showBubbleSize val="0"/>
          <c:extLst>
            <c:ext xmlns:c15="http://schemas.microsoft.com/office/drawing/2012/chart" uri="{CE6537A1-D6FC-4f65-9D91-7224C49458BB}"/>
          </c:extLst>
        </c:dLbl>
      </c:pivotFmt>
      <c:pivotFmt>
        <c:idx val="170"/>
        <c:dLbl>
          <c:idx val="0"/>
          <c:showLegendKey val="0"/>
          <c:showVal val="0"/>
          <c:showCatName val="0"/>
          <c:showSerName val="0"/>
          <c:showPercent val="0"/>
          <c:showBubbleSize val="0"/>
          <c:extLst>
            <c:ext xmlns:c15="http://schemas.microsoft.com/office/drawing/2012/chart" uri="{CE6537A1-D6FC-4f65-9D91-7224C49458BB}"/>
          </c:extLst>
        </c:dLbl>
      </c:pivotFmt>
      <c:pivotFmt>
        <c:idx val="171"/>
        <c:dLbl>
          <c:idx val="0"/>
          <c:showLegendKey val="0"/>
          <c:showVal val="0"/>
          <c:showCatName val="0"/>
          <c:showSerName val="0"/>
          <c:showPercent val="0"/>
          <c:showBubbleSize val="0"/>
          <c:extLst>
            <c:ext xmlns:c15="http://schemas.microsoft.com/office/drawing/2012/chart" uri="{CE6537A1-D6FC-4f65-9D91-7224C49458BB}"/>
          </c:extLst>
        </c:dLbl>
      </c:pivotFmt>
      <c:pivotFmt>
        <c:idx val="172"/>
        <c:dLbl>
          <c:idx val="0"/>
          <c:showLegendKey val="0"/>
          <c:showVal val="0"/>
          <c:showCatName val="0"/>
          <c:showSerName val="0"/>
          <c:showPercent val="0"/>
          <c:showBubbleSize val="0"/>
          <c:extLst>
            <c:ext xmlns:c15="http://schemas.microsoft.com/office/drawing/2012/chart" uri="{CE6537A1-D6FC-4f65-9D91-7224C49458BB}"/>
          </c:extLst>
        </c:dLbl>
      </c:pivotFmt>
      <c:pivotFmt>
        <c:idx val="173"/>
        <c:dLbl>
          <c:idx val="0"/>
          <c:showLegendKey val="0"/>
          <c:showVal val="0"/>
          <c:showCatName val="0"/>
          <c:showSerName val="0"/>
          <c:showPercent val="0"/>
          <c:showBubbleSize val="0"/>
          <c:extLst>
            <c:ext xmlns:c15="http://schemas.microsoft.com/office/drawing/2012/chart" uri="{CE6537A1-D6FC-4f65-9D91-7224C49458BB}"/>
          </c:extLst>
        </c:dLbl>
      </c:pivotFmt>
      <c:pivotFmt>
        <c:idx val="174"/>
        <c:dLbl>
          <c:idx val="0"/>
          <c:showLegendKey val="0"/>
          <c:showVal val="0"/>
          <c:showCatName val="0"/>
          <c:showSerName val="0"/>
          <c:showPercent val="0"/>
          <c:showBubbleSize val="0"/>
          <c:extLst>
            <c:ext xmlns:c15="http://schemas.microsoft.com/office/drawing/2012/chart" uri="{CE6537A1-D6FC-4f65-9D91-7224C49458BB}"/>
          </c:extLst>
        </c:dLbl>
      </c:pivotFmt>
      <c:pivotFmt>
        <c:idx val="175"/>
        <c:dLbl>
          <c:idx val="0"/>
          <c:showLegendKey val="0"/>
          <c:showVal val="0"/>
          <c:showCatName val="0"/>
          <c:showSerName val="0"/>
          <c:showPercent val="0"/>
          <c:showBubbleSize val="0"/>
          <c:extLst>
            <c:ext xmlns:c15="http://schemas.microsoft.com/office/drawing/2012/chart" uri="{CE6537A1-D6FC-4f65-9D91-7224C49458BB}"/>
          </c:extLst>
        </c:dLbl>
      </c:pivotFmt>
      <c:pivotFmt>
        <c:idx val="176"/>
        <c:dLbl>
          <c:idx val="0"/>
          <c:showLegendKey val="0"/>
          <c:showVal val="0"/>
          <c:showCatName val="0"/>
          <c:showSerName val="0"/>
          <c:showPercent val="0"/>
          <c:showBubbleSize val="0"/>
          <c:extLst>
            <c:ext xmlns:c15="http://schemas.microsoft.com/office/drawing/2012/chart" uri="{CE6537A1-D6FC-4f65-9D91-7224C49458BB}"/>
          </c:extLst>
        </c:dLbl>
      </c:pivotFmt>
      <c:pivotFmt>
        <c:idx val="177"/>
        <c:dLbl>
          <c:idx val="0"/>
          <c:showLegendKey val="0"/>
          <c:showVal val="0"/>
          <c:showCatName val="0"/>
          <c:showSerName val="0"/>
          <c:showPercent val="0"/>
          <c:showBubbleSize val="0"/>
          <c:extLst>
            <c:ext xmlns:c15="http://schemas.microsoft.com/office/drawing/2012/chart" uri="{CE6537A1-D6FC-4f65-9D91-7224C49458BB}"/>
          </c:extLst>
        </c:dLbl>
      </c:pivotFmt>
      <c:pivotFmt>
        <c:idx val="178"/>
        <c:dLbl>
          <c:idx val="0"/>
          <c:showLegendKey val="0"/>
          <c:showVal val="0"/>
          <c:showCatName val="0"/>
          <c:showSerName val="0"/>
          <c:showPercent val="0"/>
          <c:showBubbleSize val="0"/>
          <c:extLst>
            <c:ext xmlns:c15="http://schemas.microsoft.com/office/drawing/2012/chart" uri="{CE6537A1-D6FC-4f65-9D91-7224C49458BB}"/>
          </c:extLst>
        </c:dLbl>
      </c:pivotFmt>
      <c:pivotFmt>
        <c:idx val="179"/>
        <c:dLbl>
          <c:idx val="0"/>
          <c:showLegendKey val="0"/>
          <c:showVal val="0"/>
          <c:showCatName val="0"/>
          <c:showSerName val="0"/>
          <c:showPercent val="0"/>
          <c:showBubbleSize val="0"/>
          <c:extLst>
            <c:ext xmlns:c15="http://schemas.microsoft.com/office/drawing/2012/chart" uri="{CE6537A1-D6FC-4f65-9D91-7224C49458BB}"/>
          </c:extLst>
        </c:dLbl>
      </c:pivotFmt>
      <c:pivotFmt>
        <c:idx val="180"/>
        <c:dLbl>
          <c:idx val="0"/>
          <c:showLegendKey val="0"/>
          <c:showVal val="0"/>
          <c:showCatName val="0"/>
          <c:showSerName val="0"/>
          <c:showPercent val="0"/>
          <c:showBubbleSize val="0"/>
          <c:extLst>
            <c:ext xmlns:c15="http://schemas.microsoft.com/office/drawing/2012/chart" uri="{CE6537A1-D6FC-4f65-9D91-7224C49458BB}"/>
          </c:extLst>
        </c:dLbl>
      </c:pivotFmt>
      <c:pivotFmt>
        <c:idx val="181"/>
        <c:dLbl>
          <c:idx val="0"/>
          <c:showLegendKey val="0"/>
          <c:showVal val="0"/>
          <c:showCatName val="0"/>
          <c:showSerName val="0"/>
          <c:showPercent val="0"/>
          <c:showBubbleSize val="0"/>
          <c:extLst>
            <c:ext xmlns:c15="http://schemas.microsoft.com/office/drawing/2012/chart" uri="{CE6537A1-D6FC-4f65-9D91-7224C49458BB}"/>
          </c:extLst>
        </c:dLbl>
      </c:pivotFmt>
      <c:pivotFmt>
        <c:idx val="182"/>
        <c:dLbl>
          <c:idx val="0"/>
          <c:showLegendKey val="0"/>
          <c:showVal val="0"/>
          <c:showCatName val="0"/>
          <c:showSerName val="0"/>
          <c:showPercent val="0"/>
          <c:showBubbleSize val="0"/>
          <c:extLst>
            <c:ext xmlns:c15="http://schemas.microsoft.com/office/drawing/2012/chart" uri="{CE6537A1-D6FC-4f65-9D91-7224C49458BB}"/>
          </c:extLst>
        </c:dLbl>
      </c:pivotFmt>
      <c:pivotFmt>
        <c:idx val="183"/>
        <c:dLbl>
          <c:idx val="0"/>
          <c:showLegendKey val="0"/>
          <c:showVal val="0"/>
          <c:showCatName val="0"/>
          <c:showSerName val="0"/>
          <c:showPercent val="0"/>
          <c:showBubbleSize val="0"/>
          <c:extLst>
            <c:ext xmlns:c15="http://schemas.microsoft.com/office/drawing/2012/chart" uri="{CE6537A1-D6FC-4f65-9D91-7224C49458BB}"/>
          </c:extLst>
        </c:dLbl>
      </c:pivotFmt>
      <c:pivotFmt>
        <c:idx val="184"/>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ctr"/>
          <c:showLegendKey val="0"/>
          <c:showVal val="1"/>
          <c:showCatName val="1"/>
          <c:showSerName val="0"/>
          <c:showPercent val="0"/>
          <c:showBubbleSize val="0"/>
          <c:extLst>
            <c:ext xmlns:c15="http://schemas.microsoft.com/office/drawing/2012/chart" uri="{CE6537A1-D6FC-4f65-9D91-7224C49458BB}"/>
          </c:extLst>
        </c:dLbl>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0">
              <a:spAutoFit/>
            </a:bodyPr>
            <a:lstStyle/>
            <a:p>
              <a:pPr algn="ct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0"/>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anchor="ctr" anchorCtr="1"/>
            <a:lstStyle/>
            <a:p>
              <a:pPr>
                <a:defRPr lang="en-US" sz="1200" b="1" i="0" u="none" strike="noStrike" kern="1200" baseline="0">
                  <a:solidFill>
                    <a:srgbClr val="000000"/>
                  </a:solidFill>
                  <a:latin typeface="+mn-lt"/>
                  <a:ea typeface="+mn-ea"/>
                  <a:cs typeface="+mn-cs"/>
                </a:defRPr>
              </a:pPr>
              <a:endParaRPr lang="nl-NL"/>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anchor="ctr" anchorCtr="1"/>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222"/>
        <c:dLbl>
          <c:idx val="0"/>
          <c:spPr>
            <a:noFill/>
            <a:ln>
              <a:noFill/>
            </a:ln>
            <a:effectLst/>
          </c:spPr>
          <c:txPr>
            <a:bodyPr rot="5400000" spcFirstLastPara="1" vertOverflow="ellipsis" vert="horz" wrap="square" anchor="ctr" anchorCtr="1"/>
            <a:lstStyle/>
            <a:p>
              <a:pPr>
                <a:defRPr lang="en-US" sz="1200" b="1" i="0" u="none" strike="noStrike" kern="1200" baseline="0">
                  <a:solidFill>
                    <a:srgbClr val="000000"/>
                  </a:solidFill>
                  <a:latin typeface="+mn-lt"/>
                  <a:ea typeface="+mn-ea"/>
                  <a:cs typeface="+mn-cs"/>
                </a:defRPr>
              </a:pPr>
              <a:endParaRPr lang="nl-NL"/>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2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3"/>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pivotFmt>
      <c:pivotFmt>
        <c:idx val="2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pivotFmt>
      <c:pivotFmt>
        <c:idx val="236"/>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0"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7"/>
        <c:spPr>
          <a:solidFill>
            <a:srgbClr val="E8A160"/>
          </a:solidFill>
          <a:ln>
            <a:solidFill>
              <a:srgbClr val="E8A16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0"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8"/>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0"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9"/>
        <c:spPr>
          <a:solidFill>
            <a:srgbClr val="E8A160"/>
          </a:solidFill>
          <a:ln>
            <a:solidFill>
              <a:srgbClr val="E8A16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0"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0"/>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6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1"/>
        <c:spPr>
          <a:solidFill>
            <a:srgbClr val="E8A160"/>
          </a:solidFill>
          <a:ln>
            <a:solidFill>
              <a:srgbClr val="E8A16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8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2"/>
        <c:spPr>
          <a:solidFill>
            <a:srgbClr val="C6DFB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3"/>
        <c:spPr>
          <a:solidFill>
            <a:srgbClr val="C6DFBB"/>
          </a:solidFill>
          <a:ln>
            <a:solidFill>
              <a:srgbClr val="C6DFBB"/>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6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7"/>
        <c:spPr>
          <a:solidFill>
            <a:srgbClr val="E9A1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8"/>
        <c:spPr>
          <a:solidFill>
            <a:srgbClr val="C6DFB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9"/>
        <c:spPr>
          <a:solidFill>
            <a:srgbClr val="A8D08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600360838779956"/>
          <c:y val="0.12977757048092869"/>
          <c:w val="0.66460716230936823"/>
          <c:h val="0.78472222222222221"/>
        </c:manualLayout>
      </c:layout>
      <c:barChart>
        <c:barDir val="bar"/>
        <c:grouping val="stacked"/>
        <c:varyColors val="0"/>
        <c:ser>
          <c:idx val="0"/>
          <c:order val="0"/>
          <c:tx>
            <c:strRef>
              <c:f>Pivots!$C$30:$C$31</c:f>
              <c:strCache>
                <c:ptCount val="1"/>
                <c:pt idx="0">
                  <c:v>Virgin</c:v>
                </c:pt>
              </c:strCache>
            </c:strRef>
          </c:tx>
          <c:spPr>
            <a:solidFill>
              <a:srgbClr val="E9A1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Pivots!$B$32:$B$41</c:f>
              <c:strCache>
                <c:ptCount val="9"/>
                <c:pt idx="0">
                  <c:v>(Other) metals</c:v>
                </c:pt>
                <c:pt idx="1">
                  <c:v>Aluminum</c:v>
                </c:pt>
                <c:pt idx="2">
                  <c:v>Bio-based plastics</c:v>
                </c:pt>
                <c:pt idx="3">
                  <c:v>Bio-based textiles</c:v>
                </c:pt>
                <c:pt idx="4">
                  <c:v>Paper</c:v>
                </c:pt>
                <c:pt idx="5">
                  <c:v>Steel</c:v>
                </c:pt>
                <c:pt idx="6">
                  <c:v>Synthetic plastics</c:v>
                </c:pt>
                <c:pt idx="7">
                  <c:v>Synthetic textiles</c:v>
                </c:pt>
                <c:pt idx="8">
                  <c:v>Wood</c:v>
                </c:pt>
              </c:strCache>
            </c:strRef>
          </c:cat>
          <c:val>
            <c:numRef>
              <c:f>Pivots!$C$32:$C$41</c:f>
              <c:numCache>
                <c:formatCode>General</c:formatCode>
                <c:ptCount val="9"/>
                <c:pt idx="0">
                  <c:v>0</c:v>
                </c:pt>
                <c:pt idx="1">
                  <c:v>0</c:v>
                </c:pt>
                <c:pt idx="5">
                  <c:v>0</c:v>
                </c:pt>
                <c:pt idx="6">
                  <c:v>0</c:v>
                </c:pt>
                <c:pt idx="7">
                  <c:v>0</c:v>
                </c:pt>
              </c:numCache>
            </c:numRef>
          </c:val>
          <c:extLst>
            <c:ext xmlns:c16="http://schemas.microsoft.com/office/drawing/2014/chart" uri="{C3380CC4-5D6E-409C-BE32-E72D297353CC}">
              <c16:uniqueId val="{00000000-9CCD-4297-A4FD-C33221E6423D}"/>
            </c:ext>
          </c:extLst>
        </c:ser>
        <c:ser>
          <c:idx val="1"/>
          <c:order val="1"/>
          <c:tx>
            <c:strRef>
              <c:f>Pivots!$D$30:$D$31</c:f>
              <c:strCache>
                <c:ptCount val="1"/>
                <c:pt idx="0">
                  <c:v>Virgin - Bio-based</c:v>
                </c:pt>
              </c:strCache>
            </c:strRef>
          </c:tx>
          <c:spPr>
            <a:solidFill>
              <a:srgbClr val="C6DF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Pivots!$B$32:$B$41</c:f>
              <c:strCache>
                <c:ptCount val="9"/>
                <c:pt idx="0">
                  <c:v>(Other) metals</c:v>
                </c:pt>
                <c:pt idx="1">
                  <c:v>Aluminum</c:v>
                </c:pt>
                <c:pt idx="2">
                  <c:v>Bio-based plastics</c:v>
                </c:pt>
                <c:pt idx="3">
                  <c:v>Bio-based textiles</c:v>
                </c:pt>
                <c:pt idx="4">
                  <c:v>Paper</c:v>
                </c:pt>
                <c:pt idx="5">
                  <c:v>Steel</c:v>
                </c:pt>
                <c:pt idx="6">
                  <c:v>Synthetic plastics</c:v>
                </c:pt>
                <c:pt idx="7">
                  <c:v>Synthetic textiles</c:v>
                </c:pt>
                <c:pt idx="8">
                  <c:v>Wood</c:v>
                </c:pt>
              </c:strCache>
            </c:strRef>
          </c:cat>
          <c:val>
            <c:numRef>
              <c:f>Pivots!$D$32:$D$41</c:f>
              <c:numCache>
                <c:formatCode>General</c:formatCode>
                <c:ptCount val="9"/>
                <c:pt idx="2">
                  <c:v>0</c:v>
                </c:pt>
                <c:pt idx="3">
                  <c:v>0</c:v>
                </c:pt>
                <c:pt idx="4">
                  <c:v>0</c:v>
                </c:pt>
                <c:pt idx="8">
                  <c:v>0</c:v>
                </c:pt>
              </c:numCache>
            </c:numRef>
          </c:val>
          <c:extLst>
            <c:ext xmlns:c16="http://schemas.microsoft.com/office/drawing/2014/chart" uri="{C3380CC4-5D6E-409C-BE32-E72D297353CC}">
              <c16:uniqueId val="{00000001-9CCD-4297-A4FD-C33221E6423D}"/>
            </c:ext>
          </c:extLst>
        </c:ser>
        <c:ser>
          <c:idx val="2"/>
          <c:order val="2"/>
          <c:tx>
            <c:strRef>
              <c:f>Pivots!$E$30:$E$31</c:f>
              <c:strCache>
                <c:ptCount val="1"/>
                <c:pt idx="0">
                  <c:v>Recycled / Second Hand</c:v>
                </c:pt>
              </c:strCache>
            </c:strRef>
          </c:tx>
          <c:spPr>
            <a:solidFill>
              <a:srgbClr val="A8D08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200" b="1" i="0" u="none" strike="noStrike" kern="1200" baseline="0">
                    <a:solidFill>
                      <a:srgbClr val="000000"/>
                    </a:solidFill>
                    <a:latin typeface="+mn-lt"/>
                    <a:ea typeface="+mn-ea"/>
                    <a:cs typeface="+mn-cs"/>
                  </a:defRPr>
                </a:pPr>
                <a:endParaRPr lang="en-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Pivots!$B$32:$B$41</c:f>
              <c:strCache>
                <c:ptCount val="9"/>
                <c:pt idx="0">
                  <c:v>(Other) metals</c:v>
                </c:pt>
                <c:pt idx="1">
                  <c:v>Aluminum</c:v>
                </c:pt>
                <c:pt idx="2">
                  <c:v>Bio-based plastics</c:v>
                </c:pt>
                <c:pt idx="3">
                  <c:v>Bio-based textiles</c:v>
                </c:pt>
                <c:pt idx="4">
                  <c:v>Paper</c:v>
                </c:pt>
                <c:pt idx="5">
                  <c:v>Steel</c:v>
                </c:pt>
                <c:pt idx="6">
                  <c:v>Synthetic plastics</c:v>
                </c:pt>
                <c:pt idx="7">
                  <c:v>Synthetic textiles</c:v>
                </c:pt>
                <c:pt idx="8">
                  <c:v>Wood</c:v>
                </c:pt>
              </c:strCache>
            </c:strRef>
          </c:cat>
          <c:val>
            <c:numRef>
              <c:f>Pivots!$E$32:$E$41</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9CCD-4297-A4FD-C33221E6423D}"/>
            </c:ext>
          </c:extLst>
        </c:ser>
        <c:dLbls>
          <c:dLblPos val="ctr"/>
          <c:showLegendKey val="0"/>
          <c:showVal val="1"/>
          <c:showCatName val="0"/>
          <c:showSerName val="0"/>
          <c:showPercent val="0"/>
          <c:showBubbleSize val="0"/>
        </c:dLbls>
        <c:gapWidth val="100"/>
        <c:overlap val="100"/>
        <c:axId val="1042966095"/>
        <c:axId val="1042966575"/>
      </c:barChart>
      <c:catAx>
        <c:axId val="1042966095"/>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lumMod val="65000"/>
                    <a:lumOff val="35000"/>
                  </a:schemeClr>
                </a:solidFill>
                <a:latin typeface="+mn-lt"/>
                <a:ea typeface="+mn-ea"/>
                <a:cs typeface="+mn-cs"/>
              </a:defRPr>
            </a:pPr>
            <a:endParaRPr lang="nl-NL"/>
          </a:p>
        </c:txPr>
        <c:crossAx val="1042966575"/>
        <c:crosses val="autoZero"/>
        <c:auto val="1"/>
        <c:lblAlgn val="ctr"/>
        <c:lblOffset val="100"/>
        <c:noMultiLvlLbl val="0"/>
      </c:catAx>
      <c:valAx>
        <c:axId val="1042966575"/>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lang="en-US" sz="1400" b="0" i="0" u="none" strike="noStrike" kern="1200" baseline="0">
                <a:solidFill>
                  <a:srgbClr val="000000"/>
                </a:solidFill>
                <a:latin typeface="+mn-lt"/>
                <a:ea typeface="+mn-ea"/>
                <a:cs typeface="+mn-cs"/>
              </a:defRPr>
            </a:pPr>
            <a:endParaRPr lang="nl-NL"/>
          </a:p>
        </c:txPr>
        <c:crossAx val="10429660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n-US"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2">
          <a:lumMod val="15000"/>
          <a:lumOff val="85000"/>
        </a:schemeClr>
      </a:solidFill>
      <a:round/>
    </a:ln>
    <a:effectLst/>
  </c:spPr>
  <c:txPr>
    <a:bodyPr/>
    <a:lstStyle/>
    <a:p>
      <a:pPr algn="ctr" rtl="0">
        <a:defRPr lang="en-US" sz="1200" b="1" i="0" u="none" strike="noStrike" kern="1200" baseline="0">
          <a:solidFill>
            <a:srgbClr val="000000"/>
          </a:solidFill>
          <a:latin typeface="+mn-lt"/>
          <a:ea typeface="+mn-ea"/>
          <a:cs typeface="+mn-cs"/>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(2026).xlsx]Pivots!PivotTable4</c:name>
    <c:fmtId val="17"/>
  </c:pivotSource>
  <c:chart>
    <c:title>
      <c:tx>
        <c:rich>
          <a:bodyPr rot="0" spcFirstLastPara="1" vertOverflow="ellipsis" vert="horz" wrap="square" anchor="ctr" anchorCtr="1"/>
          <a:lstStyle/>
          <a:p>
            <a:pPr>
              <a:defRPr lang="nl-NL" sz="2400" b="1" i="0" u="none" strike="noStrike" kern="1200" cap="all" spc="50" baseline="0">
                <a:solidFill>
                  <a:srgbClr val="000000">
                    <a:lumMod val="65000"/>
                    <a:lumOff val="35000"/>
                  </a:srgbClr>
                </a:solidFill>
                <a:latin typeface="+mn-lt"/>
                <a:ea typeface="+mn-ea"/>
                <a:cs typeface="+mn-cs"/>
              </a:defRPr>
            </a:pPr>
            <a:r>
              <a:rPr lang="nl-NL" sz="2400" b="1" i="0" u="none" strike="noStrike" kern="1200" cap="all" spc="50" baseline="0">
                <a:solidFill>
                  <a:srgbClr val="000000">
                    <a:lumMod val="65000"/>
                    <a:lumOff val="35000"/>
                  </a:srgbClr>
                </a:solidFill>
                <a:latin typeface="+mn-lt"/>
                <a:ea typeface="+mn-ea"/>
                <a:cs typeface="+mn-cs"/>
              </a:rPr>
              <a:t>End-of-life materials (KG)</a:t>
            </a:r>
          </a:p>
        </c:rich>
      </c:tx>
      <c:overlay val="0"/>
      <c:spPr>
        <a:noFill/>
        <a:ln>
          <a:noFill/>
        </a:ln>
        <a:effectLst/>
      </c:spPr>
      <c:txPr>
        <a:bodyPr rot="0" spcFirstLastPara="1" vertOverflow="ellipsis" vert="horz" wrap="square" anchor="ctr" anchorCtr="1"/>
        <a:lstStyle/>
        <a:p>
          <a:pPr>
            <a:defRPr lang="nl-NL" sz="2400" b="1" i="0" u="none" strike="noStrike" kern="1200" cap="all" spc="50" baseline="0">
              <a:solidFill>
                <a:srgbClr val="000000">
                  <a:lumMod val="65000"/>
                  <a:lumOff val="35000"/>
                </a:srgbClr>
              </a:solidFill>
              <a:latin typeface="+mn-lt"/>
              <a:ea typeface="+mn-ea"/>
              <a:cs typeface="+mn-cs"/>
            </a:defRPr>
          </a:pPr>
          <a:endParaRPr lang="nl-NL"/>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dLbl>
          <c:idx val="0"/>
          <c:showLegendKey val="0"/>
          <c:showVal val="0"/>
          <c:showCatName val="0"/>
          <c:showSerName val="0"/>
          <c:showPercent val="0"/>
          <c:showBubbleSize val="0"/>
          <c:extLst>
            <c:ext xmlns:c15="http://schemas.microsoft.com/office/drawing/2012/chart" uri="{CE6537A1-D6FC-4f65-9D91-7224C49458BB}"/>
          </c:extLst>
        </c:dLbl>
      </c:pivotFmt>
      <c:pivotFmt>
        <c:idx val="15"/>
        <c:dLbl>
          <c:idx val="0"/>
          <c:showLegendKey val="0"/>
          <c:showVal val="0"/>
          <c:showCatName val="0"/>
          <c:showSerName val="0"/>
          <c:showPercent val="0"/>
          <c:showBubbleSize val="0"/>
          <c:extLst>
            <c:ext xmlns:c15="http://schemas.microsoft.com/office/drawing/2012/chart" uri="{CE6537A1-D6FC-4f65-9D91-7224C49458BB}"/>
          </c:extLst>
        </c:dLbl>
      </c:pivotFmt>
      <c:pivotFmt>
        <c:idx val="16"/>
        <c:dLbl>
          <c:idx val="0"/>
          <c:showLegendKey val="0"/>
          <c:showVal val="0"/>
          <c:showCatName val="0"/>
          <c:showSerName val="0"/>
          <c:showPercent val="0"/>
          <c:showBubbleSize val="0"/>
          <c:extLst>
            <c:ext xmlns:c15="http://schemas.microsoft.com/office/drawing/2012/chart" uri="{CE6537A1-D6FC-4f65-9D91-7224C49458BB}"/>
          </c:extLst>
        </c:dLbl>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dLbl>
          <c:idx val="0"/>
          <c:showLegendKey val="0"/>
          <c:showVal val="0"/>
          <c:showCatName val="0"/>
          <c:showSerName val="0"/>
          <c:showPercent val="0"/>
          <c:showBubbleSize val="0"/>
          <c:extLst>
            <c:ext xmlns:c15="http://schemas.microsoft.com/office/drawing/2012/chart" uri="{CE6537A1-D6FC-4f65-9D91-7224C49458BB}"/>
          </c:extLst>
        </c:dLbl>
      </c:pivotFmt>
      <c:pivotFmt>
        <c:idx val="23"/>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26"/>
        <c:dLbl>
          <c:idx val="0"/>
          <c:showLegendKey val="0"/>
          <c:showVal val="0"/>
          <c:showCatName val="0"/>
          <c:showSerName val="0"/>
          <c:showPercent val="0"/>
          <c:showBubbleSize val="0"/>
          <c:extLst>
            <c:ext xmlns:c15="http://schemas.microsoft.com/office/drawing/2012/chart" uri="{CE6537A1-D6FC-4f65-9D91-7224C49458BB}"/>
          </c:extLst>
        </c:dLbl>
      </c:pivotFmt>
      <c:pivotFmt>
        <c:idx val="27"/>
        <c:dLbl>
          <c:idx val="0"/>
          <c:showLegendKey val="0"/>
          <c:showVal val="0"/>
          <c:showCatName val="0"/>
          <c:showSerName val="0"/>
          <c:showPercent val="0"/>
          <c:showBubbleSize val="0"/>
          <c:extLst>
            <c:ext xmlns:c15="http://schemas.microsoft.com/office/drawing/2012/chart" uri="{CE6537A1-D6FC-4f65-9D91-7224C49458BB}"/>
          </c:extLst>
        </c:dLbl>
      </c:pivotFmt>
      <c:pivotFmt>
        <c:idx val="28"/>
        <c:dLbl>
          <c:idx val="0"/>
          <c:showLegendKey val="0"/>
          <c:showVal val="0"/>
          <c:showCatName val="0"/>
          <c:showSerName val="0"/>
          <c:showPercent val="0"/>
          <c:showBubbleSize val="0"/>
          <c:extLst>
            <c:ext xmlns:c15="http://schemas.microsoft.com/office/drawing/2012/chart" uri="{CE6537A1-D6FC-4f65-9D91-7224C49458BB}"/>
          </c:extLst>
        </c:dLbl>
      </c:pivotFmt>
      <c:pivotFmt>
        <c:idx val="29"/>
        <c:dLbl>
          <c:idx val="0"/>
          <c:showLegendKey val="0"/>
          <c:showVal val="0"/>
          <c:showCatName val="0"/>
          <c:showSerName val="0"/>
          <c:showPercent val="0"/>
          <c:showBubbleSize val="0"/>
          <c:extLst>
            <c:ext xmlns:c15="http://schemas.microsoft.com/office/drawing/2012/chart" uri="{CE6537A1-D6FC-4f65-9D91-7224C49458BB}"/>
          </c:extLst>
        </c:dLbl>
      </c:pivotFmt>
      <c:pivotFmt>
        <c:idx val="30"/>
        <c:dLbl>
          <c:idx val="0"/>
          <c:showLegendKey val="0"/>
          <c:showVal val="0"/>
          <c:showCatName val="0"/>
          <c:showSerName val="0"/>
          <c:showPercent val="0"/>
          <c:showBubbleSize val="0"/>
          <c:extLst>
            <c:ext xmlns:c15="http://schemas.microsoft.com/office/drawing/2012/chart" uri="{CE6537A1-D6FC-4f65-9D91-7224C49458BB}"/>
          </c:extLst>
        </c:dLbl>
      </c:pivotFmt>
      <c:pivotFmt>
        <c:idx val="31"/>
        <c:dLbl>
          <c:idx val="0"/>
          <c:showLegendKey val="0"/>
          <c:showVal val="0"/>
          <c:showCatName val="0"/>
          <c:showSerName val="0"/>
          <c:showPercent val="0"/>
          <c:showBubbleSize val="0"/>
          <c:extLst>
            <c:ext xmlns:c15="http://schemas.microsoft.com/office/drawing/2012/chart" uri="{CE6537A1-D6FC-4f65-9D91-7224C49458BB}"/>
          </c:extLst>
        </c:dLbl>
      </c:pivotFmt>
      <c:pivotFmt>
        <c:idx val="32"/>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34"/>
        <c:dLbl>
          <c:idx val="0"/>
          <c:showLegendKey val="0"/>
          <c:showVal val="0"/>
          <c:showCatName val="0"/>
          <c:showSerName val="0"/>
          <c:showPercent val="0"/>
          <c:showBubbleSize val="0"/>
          <c:extLst>
            <c:ext xmlns:c15="http://schemas.microsoft.com/office/drawing/2012/chart" uri="{CE6537A1-D6FC-4f65-9D91-7224C49458BB}"/>
          </c:extLst>
        </c:dLbl>
      </c:pivotFmt>
      <c:pivotFmt>
        <c:idx val="35"/>
        <c:dLbl>
          <c:idx val="0"/>
          <c:showLegendKey val="0"/>
          <c:showVal val="0"/>
          <c:showCatName val="0"/>
          <c:showSerName val="0"/>
          <c:showPercent val="0"/>
          <c:showBubbleSize val="0"/>
          <c:extLst>
            <c:ext xmlns:c15="http://schemas.microsoft.com/office/drawing/2012/chart" uri="{CE6537A1-D6FC-4f65-9D91-7224C49458BB}"/>
          </c:extLst>
        </c:dLbl>
      </c:pivotFmt>
      <c:pivotFmt>
        <c:idx val="36"/>
        <c:dLbl>
          <c:idx val="0"/>
          <c:showLegendKey val="0"/>
          <c:showVal val="0"/>
          <c:showCatName val="0"/>
          <c:showSerName val="0"/>
          <c:showPercent val="0"/>
          <c:showBubbleSize val="0"/>
          <c:extLst>
            <c:ext xmlns:c15="http://schemas.microsoft.com/office/drawing/2012/chart" uri="{CE6537A1-D6FC-4f65-9D91-7224C49458BB}"/>
          </c:extLst>
        </c:dLbl>
      </c:pivotFmt>
      <c:pivotFmt>
        <c:idx val="37"/>
        <c:dLbl>
          <c:idx val="0"/>
          <c:showLegendKey val="0"/>
          <c:showVal val="0"/>
          <c:showCatName val="0"/>
          <c:showSerName val="0"/>
          <c:showPercent val="0"/>
          <c:showBubbleSize val="0"/>
          <c:extLst>
            <c:ext xmlns:c15="http://schemas.microsoft.com/office/drawing/2012/chart" uri="{CE6537A1-D6FC-4f65-9D91-7224C49458BB}"/>
          </c:extLst>
        </c:dLbl>
      </c:pivotFmt>
      <c:pivotFmt>
        <c:idx val="38"/>
        <c:dLbl>
          <c:idx val="0"/>
          <c:showLegendKey val="0"/>
          <c:showVal val="0"/>
          <c:showCatName val="0"/>
          <c:showSerName val="0"/>
          <c:showPercent val="0"/>
          <c:showBubbleSize val="0"/>
          <c:extLst>
            <c:ext xmlns:c15="http://schemas.microsoft.com/office/drawing/2012/chart" uri="{CE6537A1-D6FC-4f65-9D91-7224C49458BB}"/>
          </c:extLst>
        </c:dLbl>
      </c:pivotFmt>
      <c:pivotFmt>
        <c:idx val="39"/>
        <c:dLbl>
          <c:idx val="0"/>
          <c:showLegendKey val="0"/>
          <c:showVal val="0"/>
          <c:showCatName val="0"/>
          <c:showSerName val="0"/>
          <c:showPercent val="0"/>
          <c:showBubbleSize val="0"/>
          <c:extLst>
            <c:ext xmlns:c15="http://schemas.microsoft.com/office/drawing/2012/chart" uri="{CE6537A1-D6FC-4f65-9D91-7224C49458BB}"/>
          </c:extLst>
        </c:dLbl>
      </c:pivotFmt>
      <c:pivotFmt>
        <c:idx val="40"/>
        <c:dLbl>
          <c:idx val="0"/>
          <c:showLegendKey val="0"/>
          <c:showVal val="0"/>
          <c:showCatName val="0"/>
          <c:showSerName val="0"/>
          <c:showPercent val="0"/>
          <c:showBubbleSize val="0"/>
          <c:extLst>
            <c:ext xmlns:c15="http://schemas.microsoft.com/office/drawing/2012/chart" uri="{CE6537A1-D6FC-4f65-9D91-7224C49458BB}"/>
          </c:extLst>
        </c:dLbl>
      </c:pivotFmt>
      <c:pivotFmt>
        <c:idx val="41"/>
        <c:dLbl>
          <c:idx val="0"/>
          <c:showLegendKey val="0"/>
          <c:showVal val="0"/>
          <c:showCatName val="0"/>
          <c:showSerName val="0"/>
          <c:showPercent val="0"/>
          <c:showBubbleSize val="0"/>
          <c:extLst>
            <c:ext xmlns:c15="http://schemas.microsoft.com/office/drawing/2012/chart" uri="{CE6537A1-D6FC-4f65-9D91-7224C49458BB}"/>
          </c:extLst>
        </c:dLbl>
      </c:pivotFmt>
      <c:pivotFmt>
        <c:idx val="42"/>
        <c:dLbl>
          <c:idx val="0"/>
          <c:showLegendKey val="0"/>
          <c:showVal val="0"/>
          <c:showCatName val="0"/>
          <c:showSerName val="0"/>
          <c:showPercent val="0"/>
          <c:showBubbleSize val="0"/>
          <c:extLst>
            <c:ext xmlns:c15="http://schemas.microsoft.com/office/drawing/2012/chart" uri="{CE6537A1-D6FC-4f65-9D91-7224C49458BB}"/>
          </c:extLst>
        </c:dLbl>
      </c:pivotFmt>
      <c:pivotFmt>
        <c:idx val="43"/>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45"/>
        <c:dLbl>
          <c:idx val="0"/>
          <c:showLegendKey val="0"/>
          <c:showVal val="0"/>
          <c:showCatName val="0"/>
          <c:showSerName val="0"/>
          <c:showPercent val="0"/>
          <c:showBubbleSize val="0"/>
          <c:extLst>
            <c:ext xmlns:c15="http://schemas.microsoft.com/office/drawing/2012/chart" uri="{CE6537A1-D6FC-4f65-9D91-7224C49458BB}"/>
          </c:extLst>
        </c:dLbl>
      </c:pivotFmt>
      <c:pivotFmt>
        <c:idx val="46"/>
        <c:dLbl>
          <c:idx val="0"/>
          <c:showLegendKey val="0"/>
          <c:showVal val="0"/>
          <c:showCatName val="0"/>
          <c:showSerName val="0"/>
          <c:showPercent val="0"/>
          <c:showBubbleSize val="0"/>
          <c:extLst>
            <c:ext xmlns:c15="http://schemas.microsoft.com/office/drawing/2012/chart" uri="{CE6537A1-D6FC-4f65-9D91-7224C49458BB}"/>
          </c:extLst>
        </c:dLbl>
      </c:pivotFmt>
      <c:pivotFmt>
        <c:idx val="47"/>
        <c:dLbl>
          <c:idx val="0"/>
          <c:showLegendKey val="0"/>
          <c:showVal val="0"/>
          <c:showCatName val="0"/>
          <c:showSerName val="0"/>
          <c:showPercent val="0"/>
          <c:showBubbleSize val="0"/>
          <c:extLst>
            <c:ext xmlns:c15="http://schemas.microsoft.com/office/drawing/2012/chart" uri="{CE6537A1-D6FC-4f65-9D91-7224C49458BB}"/>
          </c:extLst>
        </c:dLbl>
      </c:pivotFmt>
      <c:pivotFmt>
        <c:idx val="48"/>
        <c:dLbl>
          <c:idx val="0"/>
          <c:showLegendKey val="0"/>
          <c:showVal val="0"/>
          <c:showCatName val="0"/>
          <c:showSerName val="0"/>
          <c:showPercent val="0"/>
          <c:showBubbleSize val="0"/>
          <c:extLst>
            <c:ext xmlns:c15="http://schemas.microsoft.com/office/drawing/2012/chart" uri="{CE6537A1-D6FC-4f65-9D91-7224C49458BB}"/>
          </c:extLst>
        </c:dLbl>
      </c:pivotFmt>
      <c:pivotFmt>
        <c:idx val="49"/>
        <c:dLbl>
          <c:idx val="0"/>
          <c:showLegendKey val="0"/>
          <c:showVal val="0"/>
          <c:showCatName val="0"/>
          <c:showSerName val="0"/>
          <c:showPercent val="0"/>
          <c:showBubbleSize val="0"/>
          <c:extLst>
            <c:ext xmlns:c15="http://schemas.microsoft.com/office/drawing/2012/chart" uri="{CE6537A1-D6FC-4f65-9D91-7224C49458BB}"/>
          </c:extLst>
        </c:dLbl>
      </c:pivotFmt>
      <c:pivotFmt>
        <c:idx val="50"/>
        <c:dLbl>
          <c:idx val="0"/>
          <c:showLegendKey val="0"/>
          <c:showVal val="0"/>
          <c:showCatName val="0"/>
          <c:showSerName val="0"/>
          <c:showPercent val="0"/>
          <c:showBubbleSize val="0"/>
          <c:extLst>
            <c:ext xmlns:c15="http://schemas.microsoft.com/office/drawing/2012/chart" uri="{CE6537A1-D6FC-4f65-9D91-7224C49458BB}"/>
          </c:extLst>
        </c:dLbl>
      </c:pivotFmt>
      <c:pivotFmt>
        <c:idx val="51"/>
        <c:dLbl>
          <c:idx val="0"/>
          <c:showLegendKey val="0"/>
          <c:showVal val="0"/>
          <c:showCatName val="0"/>
          <c:showSerName val="0"/>
          <c:showPercent val="0"/>
          <c:showBubbleSize val="0"/>
          <c:extLst>
            <c:ext xmlns:c15="http://schemas.microsoft.com/office/drawing/2012/chart" uri="{CE6537A1-D6FC-4f65-9D91-7224C49458BB}"/>
          </c:extLst>
        </c:dLbl>
      </c:pivotFmt>
      <c:pivotFmt>
        <c:idx val="52"/>
        <c:dLbl>
          <c:idx val="0"/>
          <c:showLegendKey val="0"/>
          <c:showVal val="0"/>
          <c:showCatName val="0"/>
          <c:showSerName val="0"/>
          <c:showPercent val="0"/>
          <c:showBubbleSize val="0"/>
          <c:extLst>
            <c:ext xmlns:c15="http://schemas.microsoft.com/office/drawing/2012/chart" uri="{CE6537A1-D6FC-4f65-9D91-7224C49458BB}"/>
          </c:extLst>
        </c:dLbl>
      </c:pivotFmt>
      <c:pivotFmt>
        <c:idx val="53"/>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55"/>
        <c:dLbl>
          <c:idx val="0"/>
          <c:showLegendKey val="0"/>
          <c:showVal val="0"/>
          <c:showCatName val="0"/>
          <c:showSerName val="0"/>
          <c:showPercent val="0"/>
          <c:showBubbleSize val="0"/>
          <c:extLst>
            <c:ext xmlns:c15="http://schemas.microsoft.com/office/drawing/2012/chart" uri="{CE6537A1-D6FC-4f65-9D91-7224C49458BB}"/>
          </c:extLst>
        </c:dLbl>
      </c:pivotFmt>
      <c:pivotFmt>
        <c:idx val="56"/>
        <c:dLbl>
          <c:idx val="0"/>
          <c:showLegendKey val="0"/>
          <c:showVal val="0"/>
          <c:showCatName val="0"/>
          <c:showSerName val="0"/>
          <c:showPercent val="0"/>
          <c:showBubbleSize val="0"/>
          <c:extLst>
            <c:ext xmlns:c15="http://schemas.microsoft.com/office/drawing/2012/chart" uri="{CE6537A1-D6FC-4f65-9D91-7224C49458BB}"/>
          </c:extLst>
        </c:dLbl>
      </c:pivotFmt>
      <c:pivotFmt>
        <c:idx val="57"/>
        <c:dLbl>
          <c:idx val="0"/>
          <c:showLegendKey val="0"/>
          <c:showVal val="0"/>
          <c:showCatName val="0"/>
          <c:showSerName val="0"/>
          <c:showPercent val="0"/>
          <c:showBubbleSize val="0"/>
          <c:extLst>
            <c:ext xmlns:c15="http://schemas.microsoft.com/office/drawing/2012/chart" uri="{CE6537A1-D6FC-4f65-9D91-7224C49458BB}"/>
          </c:extLst>
        </c:dLbl>
      </c:pivotFmt>
      <c:pivotFmt>
        <c:idx val="58"/>
        <c:dLbl>
          <c:idx val="0"/>
          <c:showLegendKey val="0"/>
          <c:showVal val="0"/>
          <c:showCatName val="0"/>
          <c:showSerName val="0"/>
          <c:showPercent val="0"/>
          <c:showBubbleSize val="0"/>
          <c:extLst>
            <c:ext xmlns:c15="http://schemas.microsoft.com/office/drawing/2012/chart" uri="{CE6537A1-D6FC-4f65-9D91-7224C49458BB}"/>
          </c:extLst>
        </c:dLbl>
      </c:pivotFmt>
      <c:pivotFmt>
        <c:idx val="59"/>
        <c:dLbl>
          <c:idx val="0"/>
          <c:showLegendKey val="0"/>
          <c:showVal val="0"/>
          <c:showCatName val="0"/>
          <c:showSerName val="0"/>
          <c:showPercent val="0"/>
          <c:showBubbleSize val="0"/>
          <c:extLst>
            <c:ext xmlns:c15="http://schemas.microsoft.com/office/drawing/2012/chart" uri="{CE6537A1-D6FC-4f65-9D91-7224C49458BB}"/>
          </c:extLst>
        </c:dLbl>
      </c:pivotFmt>
      <c:pivotFmt>
        <c:idx val="60"/>
        <c:dLbl>
          <c:idx val="0"/>
          <c:showLegendKey val="0"/>
          <c:showVal val="0"/>
          <c:showCatName val="0"/>
          <c:showSerName val="0"/>
          <c:showPercent val="0"/>
          <c:showBubbleSize val="0"/>
          <c:extLst>
            <c:ext xmlns:c15="http://schemas.microsoft.com/office/drawing/2012/chart" uri="{CE6537A1-D6FC-4f65-9D91-7224C49458BB}"/>
          </c:extLst>
        </c:dLbl>
      </c:pivotFmt>
      <c:pivotFmt>
        <c:idx val="61"/>
        <c:dLbl>
          <c:idx val="0"/>
          <c:showLegendKey val="0"/>
          <c:showVal val="0"/>
          <c:showCatName val="0"/>
          <c:showSerName val="0"/>
          <c:showPercent val="0"/>
          <c:showBubbleSize val="0"/>
          <c:extLst>
            <c:ext xmlns:c15="http://schemas.microsoft.com/office/drawing/2012/chart" uri="{CE6537A1-D6FC-4f65-9D91-7224C49458BB}"/>
          </c:extLst>
        </c:dLbl>
      </c:pivotFmt>
      <c:pivotFmt>
        <c:idx val="62"/>
        <c:dLbl>
          <c:idx val="0"/>
          <c:showLegendKey val="0"/>
          <c:showVal val="0"/>
          <c:showCatName val="0"/>
          <c:showSerName val="0"/>
          <c:showPercent val="0"/>
          <c:showBubbleSize val="0"/>
          <c:extLst>
            <c:ext xmlns:c15="http://schemas.microsoft.com/office/drawing/2012/chart" uri="{CE6537A1-D6FC-4f65-9D91-7224C49458BB}"/>
          </c:extLst>
        </c:dLbl>
      </c:pivotFmt>
      <c:pivotFmt>
        <c:idx val="63"/>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66"/>
        <c:dLbl>
          <c:idx val="0"/>
          <c:showLegendKey val="0"/>
          <c:showVal val="0"/>
          <c:showCatName val="0"/>
          <c:showSerName val="0"/>
          <c:showPercent val="0"/>
          <c:showBubbleSize val="0"/>
          <c:extLst>
            <c:ext xmlns:c15="http://schemas.microsoft.com/office/drawing/2012/chart" uri="{CE6537A1-D6FC-4f65-9D91-7224C49458BB}"/>
          </c:extLst>
        </c:dLbl>
      </c:pivotFmt>
      <c:pivotFmt>
        <c:idx val="67"/>
        <c:dLbl>
          <c:idx val="0"/>
          <c:showLegendKey val="0"/>
          <c:showVal val="0"/>
          <c:showCatName val="0"/>
          <c:showSerName val="0"/>
          <c:showPercent val="0"/>
          <c:showBubbleSize val="0"/>
          <c:extLst>
            <c:ext xmlns:c15="http://schemas.microsoft.com/office/drawing/2012/chart" uri="{CE6537A1-D6FC-4f65-9D91-7224C49458BB}"/>
          </c:extLst>
        </c:dLbl>
      </c:pivotFmt>
      <c:pivotFmt>
        <c:idx val="68"/>
        <c:dLbl>
          <c:idx val="0"/>
          <c:showLegendKey val="0"/>
          <c:showVal val="0"/>
          <c:showCatName val="0"/>
          <c:showSerName val="0"/>
          <c:showPercent val="0"/>
          <c:showBubbleSize val="0"/>
          <c:extLst>
            <c:ext xmlns:c15="http://schemas.microsoft.com/office/drawing/2012/chart" uri="{CE6537A1-D6FC-4f65-9D91-7224C49458BB}"/>
          </c:extLst>
        </c:dLbl>
      </c:pivotFmt>
      <c:pivotFmt>
        <c:idx val="69"/>
        <c:dLbl>
          <c:idx val="0"/>
          <c:showLegendKey val="0"/>
          <c:showVal val="0"/>
          <c:showCatName val="0"/>
          <c:showSerName val="0"/>
          <c:showPercent val="0"/>
          <c:showBubbleSize val="0"/>
          <c:extLst>
            <c:ext xmlns:c15="http://schemas.microsoft.com/office/drawing/2012/chart" uri="{CE6537A1-D6FC-4f65-9D91-7224C49458BB}"/>
          </c:extLst>
        </c:dLbl>
      </c:pivotFmt>
      <c:pivotFmt>
        <c:idx val="70"/>
        <c:dLbl>
          <c:idx val="0"/>
          <c:showLegendKey val="0"/>
          <c:showVal val="0"/>
          <c:showCatName val="0"/>
          <c:showSerName val="0"/>
          <c:showPercent val="0"/>
          <c:showBubbleSize val="0"/>
          <c:extLst>
            <c:ext xmlns:c15="http://schemas.microsoft.com/office/drawing/2012/chart" uri="{CE6537A1-D6FC-4f65-9D91-7224C49458BB}"/>
          </c:extLst>
        </c:dLbl>
      </c:pivotFmt>
      <c:pivotFmt>
        <c:idx val="71"/>
        <c:dLbl>
          <c:idx val="0"/>
          <c:showLegendKey val="0"/>
          <c:showVal val="0"/>
          <c:showCatName val="0"/>
          <c:showSerName val="0"/>
          <c:showPercent val="0"/>
          <c:showBubbleSize val="0"/>
          <c:extLst>
            <c:ext xmlns:c15="http://schemas.microsoft.com/office/drawing/2012/chart" uri="{CE6537A1-D6FC-4f65-9D91-7224C49458BB}"/>
          </c:extLst>
        </c:dLbl>
      </c:pivotFmt>
      <c:pivotFmt>
        <c:idx val="72"/>
        <c:dLbl>
          <c:idx val="0"/>
          <c:showLegendKey val="0"/>
          <c:showVal val="0"/>
          <c:showCatName val="0"/>
          <c:showSerName val="0"/>
          <c:showPercent val="0"/>
          <c:showBubbleSize val="0"/>
          <c:extLst>
            <c:ext xmlns:c15="http://schemas.microsoft.com/office/drawing/2012/chart" uri="{CE6537A1-D6FC-4f65-9D91-7224C49458BB}"/>
          </c:extLst>
        </c:dLbl>
      </c:pivotFmt>
      <c:pivotFmt>
        <c:idx val="73"/>
        <c:dLbl>
          <c:idx val="0"/>
          <c:showLegendKey val="0"/>
          <c:showVal val="0"/>
          <c:showCatName val="0"/>
          <c:showSerName val="0"/>
          <c:showPercent val="0"/>
          <c:showBubbleSize val="0"/>
          <c:extLst>
            <c:ext xmlns:c15="http://schemas.microsoft.com/office/drawing/2012/chart" uri="{CE6537A1-D6FC-4f65-9D91-7224C49458BB}"/>
          </c:extLst>
        </c:dLbl>
      </c:pivotFmt>
      <c:pivotFmt>
        <c:idx val="74"/>
        <c:dLbl>
          <c:idx val="0"/>
          <c:showLegendKey val="0"/>
          <c:showVal val="0"/>
          <c:showCatName val="0"/>
          <c:showSerName val="0"/>
          <c:showPercent val="0"/>
          <c:showBubbleSize val="0"/>
          <c:extLst>
            <c:ext xmlns:c15="http://schemas.microsoft.com/office/drawing/2012/chart" uri="{CE6537A1-D6FC-4f65-9D91-7224C49458BB}"/>
          </c:extLst>
        </c:dLbl>
      </c:pivotFmt>
      <c:pivotFmt>
        <c:idx val="75"/>
        <c:dLbl>
          <c:idx val="0"/>
          <c:showLegendKey val="0"/>
          <c:showVal val="0"/>
          <c:showCatName val="0"/>
          <c:showSerName val="0"/>
          <c:showPercent val="0"/>
          <c:showBubbleSize val="0"/>
          <c:extLst>
            <c:ext xmlns:c15="http://schemas.microsoft.com/office/drawing/2012/chart" uri="{CE6537A1-D6FC-4f65-9D91-7224C49458BB}"/>
          </c:extLst>
        </c:dLbl>
      </c:pivotFmt>
      <c:pivotFmt>
        <c:idx val="76"/>
        <c:dLbl>
          <c:idx val="0"/>
          <c:showLegendKey val="0"/>
          <c:showVal val="0"/>
          <c:showCatName val="0"/>
          <c:showSerName val="0"/>
          <c:showPercent val="0"/>
          <c:showBubbleSize val="0"/>
          <c:extLst>
            <c:ext xmlns:c15="http://schemas.microsoft.com/office/drawing/2012/chart" uri="{CE6537A1-D6FC-4f65-9D91-7224C49458BB}"/>
          </c:extLst>
        </c:dLbl>
      </c:pivotFmt>
      <c:pivotFmt>
        <c:idx val="77"/>
        <c:dLbl>
          <c:idx val="0"/>
          <c:showLegendKey val="0"/>
          <c:showVal val="0"/>
          <c:showCatName val="0"/>
          <c:showSerName val="0"/>
          <c:showPercent val="0"/>
          <c:showBubbleSize val="0"/>
          <c:extLst>
            <c:ext xmlns:c15="http://schemas.microsoft.com/office/drawing/2012/chart" uri="{CE6537A1-D6FC-4f65-9D91-7224C49458BB}"/>
          </c:extLst>
        </c:dLbl>
      </c:pivotFmt>
      <c:pivotFmt>
        <c:idx val="78"/>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2"/>
        <c:dLbl>
          <c:idx val="0"/>
          <c:showLegendKey val="0"/>
          <c:showVal val="0"/>
          <c:showCatName val="0"/>
          <c:showSerName val="0"/>
          <c:showPercent val="0"/>
          <c:showBubbleSize val="0"/>
          <c:extLst>
            <c:ext xmlns:c15="http://schemas.microsoft.com/office/drawing/2012/chart" uri="{CE6537A1-D6FC-4f65-9D91-7224C49458BB}"/>
          </c:extLst>
        </c:dLbl>
      </c:pivotFmt>
      <c:pivotFmt>
        <c:idx val="83"/>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90"/>
        <c:dLbl>
          <c:idx val="0"/>
          <c:showLegendKey val="0"/>
          <c:showVal val="0"/>
          <c:showCatName val="0"/>
          <c:showSerName val="0"/>
          <c:showPercent val="0"/>
          <c:showBubbleSize val="0"/>
          <c:extLst>
            <c:ext xmlns:c15="http://schemas.microsoft.com/office/drawing/2012/chart" uri="{CE6537A1-D6FC-4f65-9D91-7224C49458BB}"/>
          </c:extLst>
        </c:dLbl>
      </c:pivotFmt>
      <c:pivotFmt>
        <c:idx val="91"/>
        <c:dLbl>
          <c:idx val="0"/>
          <c:showLegendKey val="0"/>
          <c:showVal val="0"/>
          <c:showCatName val="0"/>
          <c:showSerName val="0"/>
          <c:showPercent val="0"/>
          <c:showBubbleSize val="0"/>
          <c:extLst>
            <c:ext xmlns:c15="http://schemas.microsoft.com/office/drawing/2012/chart" uri="{CE6537A1-D6FC-4f65-9D91-7224C49458BB}"/>
          </c:extLst>
        </c:dLbl>
      </c:pivotFmt>
      <c:pivotFmt>
        <c:idx val="92"/>
        <c:dLbl>
          <c:idx val="0"/>
          <c:showLegendKey val="0"/>
          <c:showVal val="0"/>
          <c:showCatName val="0"/>
          <c:showSerName val="0"/>
          <c:showPercent val="0"/>
          <c:showBubbleSize val="0"/>
          <c:extLst>
            <c:ext xmlns:c15="http://schemas.microsoft.com/office/drawing/2012/chart" uri="{CE6537A1-D6FC-4f65-9D91-7224C49458BB}"/>
          </c:extLst>
        </c:dLbl>
      </c:pivotFmt>
      <c:pivotFmt>
        <c:idx val="93"/>
        <c:dLbl>
          <c:idx val="0"/>
          <c:showLegendKey val="0"/>
          <c:showVal val="0"/>
          <c:showCatName val="0"/>
          <c:showSerName val="0"/>
          <c:showPercent val="0"/>
          <c:showBubbleSize val="0"/>
          <c:extLst>
            <c:ext xmlns:c15="http://schemas.microsoft.com/office/drawing/2012/chart" uri="{CE6537A1-D6FC-4f65-9D91-7224C49458BB}"/>
          </c:extLst>
        </c:dLbl>
      </c:pivotFmt>
      <c:pivotFmt>
        <c:idx val="94"/>
        <c:dLbl>
          <c:idx val="0"/>
          <c:showLegendKey val="0"/>
          <c:showVal val="0"/>
          <c:showCatName val="0"/>
          <c:showSerName val="0"/>
          <c:showPercent val="0"/>
          <c:showBubbleSize val="0"/>
          <c:extLst>
            <c:ext xmlns:c15="http://schemas.microsoft.com/office/drawing/2012/chart" uri="{CE6537A1-D6FC-4f65-9D91-7224C49458BB}"/>
          </c:extLst>
        </c:dLbl>
      </c:pivotFmt>
      <c:pivotFmt>
        <c:idx val="95"/>
        <c:dLbl>
          <c:idx val="0"/>
          <c:showLegendKey val="0"/>
          <c:showVal val="0"/>
          <c:showCatName val="0"/>
          <c:showSerName val="0"/>
          <c:showPercent val="0"/>
          <c:showBubbleSize val="0"/>
          <c:extLst>
            <c:ext xmlns:c15="http://schemas.microsoft.com/office/drawing/2012/chart" uri="{CE6537A1-D6FC-4f65-9D91-7224C49458BB}"/>
          </c:extLst>
        </c:dLbl>
      </c:pivotFmt>
      <c:pivotFmt>
        <c:idx val="96"/>
        <c:dLbl>
          <c:idx val="0"/>
          <c:showLegendKey val="0"/>
          <c:showVal val="0"/>
          <c:showCatName val="0"/>
          <c:showSerName val="0"/>
          <c:showPercent val="0"/>
          <c:showBubbleSize val="0"/>
          <c:extLst>
            <c:ext xmlns:c15="http://schemas.microsoft.com/office/drawing/2012/chart" uri="{CE6537A1-D6FC-4f65-9D91-7224C49458BB}"/>
          </c:extLst>
        </c:dLbl>
      </c:pivotFmt>
      <c:pivotFmt>
        <c:idx val="97"/>
        <c:dLbl>
          <c:idx val="0"/>
          <c:showLegendKey val="0"/>
          <c:showVal val="0"/>
          <c:showCatName val="0"/>
          <c:showSerName val="0"/>
          <c:showPercent val="0"/>
          <c:showBubbleSize val="0"/>
          <c:extLst>
            <c:ext xmlns:c15="http://schemas.microsoft.com/office/drawing/2012/chart" uri="{CE6537A1-D6FC-4f65-9D91-7224C49458BB}"/>
          </c:extLst>
        </c:dLbl>
      </c:pivotFmt>
      <c:pivotFmt>
        <c:idx val="98"/>
        <c:dLbl>
          <c:idx val="0"/>
          <c:showLegendKey val="0"/>
          <c:showVal val="0"/>
          <c:showCatName val="0"/>
          <c:showSerName val="0"/>
          <c:showPercent val="0"/>
          <c:showBubbleSize val="0"/>
          <c:extLst>
            <c:ext xmlns:c15="http://schemas.microsoft.com/office/drawing/2012/chart" uri="{CE6537A1-D6FC-4f65-9D91-7224C49458BB}"/>
          </c:extLst>
        </c:dLbl>
      </c:pivotFmt>
      <c:pivotFmt>
        <c:idx val="99"/>
        <c:dLbl>
          <c:idx val="0"/>
          <c:showLegendKey val="0"/>
          <c:showVal val="0"/>
          <c:showCatName val="0"/>
          <c:showSerName val="0"/>
          <c:showPercent val="0"/>
          <c:showBubbleSize val="0"/>
          <c:extLst>
            <c:ext xmlns:c15="http://schemas.microsoft.com/office/drawing/2012/chart" uri="{CE6537A1-D6FC-4f65-9D91-7224C49458BB}"/>
          </c:extLst>
        </c:dLbl>
      </c:pivotFmt>
      <c:pivotFmt>
        <c:idx val="100"/>
        <c:dLbl>
          <c:idx val="0"/>
          <c:showLegendKey val="0"/>
          <c:showVal val="0"/>
          <c:showCatName val="0"/>
          <c:showSerName val="0"/>
          <c:showPercent val="0"/>
          <c:showBubbleSize val="0"/>
          <c:extLst>
            <c:ext xmlns:c15="http://schemas.microsoft.com/office/drawing/2012/chart" uri="{CE6537A1-D6FC-4f65-9D91-7224C49458BB}"/>
          </c:extLst>
        </c:dLbl>
      </c:pivotFmt>
      <c:pivotFmt>
        <c:idx val="101"/>
        <c:dLbl>
          <c:idx val="0"/>
          <c:showLegendKey val="0"/>
          <c:showVal val="0"/>
          <c:showCatName val="0"/>
          <c:showSerName val="0"/>
          <c:showPercent val="0"/>
          <c:showBubbleSize val="0"/>
          <c:extLst>
            <c:ext xmlns:c15="http://schemas.microsoft.com/office/drawing/2012/chart" uri="{CE6537A1-D6FC-4f65-9D91-7224C49458BB}"/>
          </c:extLst>
        </c:dLbl>
      </c:pivotFmt>
      <c:pivotFmt>
        <c:idx val="102"/>
        <c:dLbl>
          <c:idx val="0"/>
          <c:showLegendKey val="0"/>
          <c:showVal val="0"/>
          <c:showCatName val="0"/>
          <c:showSerName val="0"/>
          <c:showPercent val="0"/>
          <c:showBubbleSize val="0"/>
          <c:extLst>
            <c:ext xmlns:c15="http://schemas.microsoft.com/office/drawing/2012/chart" uri="{CE6537A1-D6FC-4f65-9D91-7224C49458BB}"/>
          </c:extLst>
        </c:dLbl>
      </c:pivotFmt>
      <c:pivotFmt>
        <c:idx val="103"/>
        <c:dLbl>
          <c:idx val="0"/>
          <c:showLegendKey val="0"/>
          <c:showVal val="0"/>
          <c:showCatName val="0"/>
          <c:showSerName val="0"/>
          <c:showPercent val="0"/>
          <c:showBubbleSize val="0"/>
          <c:extLst>
            <c:ext xmlns:c15="http://schemas.microsoft.com/office/drawing/2012/chart" uri="{CE6537A1-D6FC-4f65-9D91-7224C49458BB}"/>
          </c:extLst>
        </c:dLbl>
      </c:pivotFmt>
      <c:pivotFmt>
        <c:idx val="104"/>
        <c:dLbl>
          <c:idx val="0"/>
          <c:showLegendKey val="0"/>
          <c:showVal val="0"/>
          <c:showCatName val="0"/>
          <c:showSerName val="0"/>
          <c:showPercent val="0"/>
          <c:showBubbleSize val="0"/>
          <c:extLst>
            <c:ext xmlns:c15="http://schemas.microsoft.com/office/drawing/2012/chart" uri="{CE6537A1-D6FC-4f65-9D91-7224C49458BB}"/>
          </c:extLst>
        </c:dLbl>
      </c:pivotFmt>
      <c:pivotFmt>
        <c:idx val="105"/>
        <c:dLbl>
          <c:idx val="0"/>
          <c:showLegendKey val="0"/>
          <c:showVal val="0"/>
          <c:showCatName val="0"/>
          <c:showSerName val="0"/>
          <c:showPercent val="0"/>
          <c:showBubbleSize val="0"/>
          <c:extLst>
            <c:ext xmlns:c15="http://schemas.microsoft.com/office/drawing/2012/chart" uri="{CE6537A1-D6FC-4f65-9D91-7224C49458BB}"/>
          </c:extLst>
        </c:dLbl>
      </c:pivotFmt>
      <c:pivotFmt>
        <c:idx val="106"/>
        <c:dLbl>
          <c:idx val="0"/>
          <c:showLegendKey val="0"/>
          <c:showVal val="0"/>
          <c:showCatName val="0"/>
          <c:showSerName val="0"/>
          <c:showPercent val="0"/>
          <c:showBubbleSize val="0"/>
          <c:extLst>
            <c:ext xmlns:c15="http://schemas.microsoft.com/office/drawing/2012/chart" uri="{CE6537A1-D6FC-4f65-9D91-7224C49458BB}"/>
          </c:extLst>
        </c:dLbl>
      </c:pivotFmt>
      <c:pivotFmt>
        <c:idx val="107"/>
        <c:dLbl>
          <c:idx val="0"/>
          <c:showLegendKey val="0"/>
          <c:showVal val="0"/>
          <c:showCatName val="0"/>
          <c:showSerName val="0"/>
          <c:showPercent val="0"/>
          <c:showBubbleSize val="0"/>
          <c:extLst>
            <c:ext xmlns:c15="http://schemas.microsoft.com/office/drawing/2012/chart" uri="{CE6537A1-D6FC-4f65-9D91-7224C49458BB}"/>
          </c:extLst>
        </c:dLbl>
      </c:pivotFmt>
      <c:pivotFmt>
        <c:idx val="108"/>
        <c:dLbl>
          <c:idx val="0"/>
          <c:showLegendKey val="0"/>
          <c:showVal val="0"/>
          <c:showCatName val="0"/>
          <c:showSerName val="0"/>
          <c:showPercent val="0"/>
          <c:showBubbleSize val="0"/>
          <c:extLst>
            <c:ext xmlns:c15="http://schemas.microsoft.com/office/drawing/2012/chart" uri="{CE6537A1-D6FC-4f65-9D91-7224C49458BB}"/>
          </c:extLst>
        </c:dLbl>
      </c:pivotFmt>
      <c:pivotFmt>
        <c:idx val="109"/>
        <c:dLbl>
          <c:idx val="0"/>
          <c:showLegendKey val="0"/>
          <c:showVal val="0"/>
          <c:showCatName val="0"/>
          <c:showSerName val="0"/>
          <c:showPercent val="0"/>
          <c:showBubbleSize val="0"/>
          <c:extLst>
            <c:ext xmlns:c15="http://schemas.microsoft.com/office/drawing/2012/chart" uri="{CE6537A1-D6FC-4f65-9D91-7224C49458BB}"/>
          </c:extLst>
        </c:dLbl>
      </c:pivotFmt>
      <c:pivotFmt>
        <c:idx val="110"/>
        <c:dLbl>
          <c:idx val="0"/>
          <c:showLegendKey val="0"/>
          <c:showVal val="0"/>
          <c:showCatName val="0"/>
          <c:showSerName val="0"/>
          <c:showPercent val="0"/>
          <c:showBubbleSize val="0"/>
          <c:extLst>
            <c:ext xmlns:c15="http://schemas.microsoft.com/office/drawing/2012/chart" uri="{CE6537A1-D6FC-4f65-9D91-7224C49458BB}"/>
          </c:extLst>
        </c:dLbl>
      </c:pivotFmt>
      <c:pivotFmt>
        <c:idx val="111"/>
        <c:dLbl>
          <c:idx val="0"/>
          <c:showLegendKey val="0"/>
          <c:showVal val="0"/>
          <c:showCatName val="0"/>
          <c:showSerName val="0"/>
          <c:showPercent val="0"/>
          <c:showBubbleSize val="0"/>
          <c:extLst>
            <c:ext xmlns:c15="http://schemas.microsoft.com/office/drawing/2012/chart" uri="{CE6537A1-D6FC-4f65-9D91-7224C49458BB}"/>
          </c:extLst>
        </c:dLbl>
      </c:pivotFmt>
      <c:pivotFmt>
        <c:idx val="112"/>
        <c:dLbl>
          <c:idx val="0"/>
          <c:showLegendKey val="0"/>
          <c:showVal val="0"/>
          <c:showCatName val="0"/>
          <c:showSerName val="0"/>
          <c:showPercent val="0"/>
          <c:showBubbleSize val="0"/>
          <c:extLst>
            <c:ext xmlns:c15="http://schemas.microsoft.com/office/drawing/2012/chart" uri="{CE6537A1-D6FC-4f65-9D91-7224C49458BB}"/>
          </c:extLst>
        </c:dLbl>
      </c:pivotFmt>
      <c:pivotFmt>
        <c:idx val="113"/>
        <c:dLbl>
          <c:idx val="0"/>
          <c:showLegendKey val="0"/>
          <c:showVal val="0"/>
          <c:showCatName val="0"/>
          <c:showSerName val="0"/>
          <c:showPercent val="0"/>
          <c:showBubbleSize val="0"/>
          <c:extLst>
            <c:ext xmlns:c15="http://schemas.microsoft.com/office/drawing/2012/chart" uri="{CE6537A1-D6FC-4f65-9D91-7224C49458BB}"/>
          </c:extLst>
        </c:dLbl>
      </c:pivotFmt>
      <c:pivotFmt>
        <c:idx val="114"/>
        <c:dLbl>
          <c:idx val="0"/>
          <c:showLegendKey val="0"/>
          <c:showVal val="0"/>
          <c:showCatName val="0"/>
          <c:showSerName val="0"/>
          <c:showPercent val="0"/>
          <c:showBubbleSize val="0"/>
          <c:extLst>
            <c:ext xmlns:c15="http://schemas.microsoft.com/office/drawing/2012/chart" uri="{CE6537A1-D6FC-4f65-9D91-7224C49458BB}"/>
          </c:extLst>
        </c:dLbl>
      </c:pivotFmt>
      <c:pivotFmt>
        <c:idx val="115"/>
        <c:dLbl>
          <c:idx val="0"/>
          <c:showLegendKey val="0"/>
          <c:showVal val="0"/>
          <c:showCatName val="0"/>
          <c:showSerName val="0"/>
          <c:showPercent val="0"/>
          <c:showBubbleSize val="0"/>
          <c:extLst>
            <c:ext xmlns:c15="http://schemas.microsoft.com/office/drawing/2012/chart" uri="{CE6537A1-D6FC-4f65-9D91-7224C49458BB}"/>
          </c:extLst>
        </c:dLbl>
      </c:pivotFmt>
      <c:pivotFmt>
        <c:idx val="116"/>
        <c:dLbl>
          <c:idx val="0"/>
          <c:showLegendKey val="0"/>
          <c:showVal val="0"/>
          <c:showCatName val="0"/>
          <c:showSerName val="0"/>
          <c:showPercent val="0"/>
          <c:showBubbleSize val="0"/>
          <c:extLst>
            <c:ext xmlns:c15="http://schemas.microsoft.com/office/drawing/2012/chart" uri="{CE6537A1-D6FC-4f65-9D91-7224C49458BB}"/>
          </c:extLst>
        </c:dLbl>
      </c:pivotFmt>
      <c:pivotFmt>
        <c:idx val="117"/>
        <c:dLbl>
          <c:idx val="0"/>
          <c:showLegendKey val="0"/>
          <c:showVal val="0"/>
          <c:showCatName val="0"/>
          <c:showSerName val="0"/>
          <c:showPercent val="0"/>
          <c:showBubbleSize val="0"/>
          <c:extLst>
            <c:ext xmlns:c15="http://schemas.microsoft.com/office/drawing/2012/chart" uri="{CE6537A1-D6FC-4f65-9D91-7224C49458BB}"/>
          </c:extLst>
        </c:dLbl>
      </c:pivotFmt>
      <c:pivotFmt>
        <c:idx val="118"/>
        <c:dLbl>
          <c:idx val="0"/>
          <c:showLegendKey val="0"/>
          <c:showVal val="0"/>
          <c:showCatName val="0"/>
          <c:showSerName val="0"/>
          <c:showPercent val="0"/>
          <c:showBubbleSize val="0"/>
          <c:extLst>
            <c:ext xmlns:c15="http://schemas.microsoft.com/office/drawing/2012/chart" uri="{CE6537A1-D6FC-4f65-9D91-7224C49458BB}"/>
          </c:extLst>
        </c:dLbl>
      </c:pivotFmt>
      <c:pivotFmt>
        <c:idx val="119"/>
        <c:dLbl>
          <c:idx val="0"/>
          <c:showLegendKey val="0"/>
          <c:showVal val="0"/>
          <c:showCatName val="0"/>
          <c:showSerName val="0"/>
          <c:showPercent val="0"/>
          <c:showBubbleSize val="0"/>
          <c:extLst>
            <c:ext xmlns:c15="http://schemas.microsoft.com/office/drawing/2012/chart" uri="{CE6537A1-D6FC-4f65-9D91-7224C49458BB}"/>
          </c:extLst>
        </c:dLbl>
      </c:pivotFmt>
      <c:pivotFmt>
        <c:idx val="120"/>
        <c:dLbl>
          <c:idx val="0"/>
          <c:showLegendKey val="0"/>
          <c:showVal val="0"/>
          <c:showCatName val="0"/>
          <c:showSerName val="0"/>
          <c:showPercent val="0"/>
          <c:showBubbleSize val="0"/>
          <c:extLst>
            <c:ext xmlns:c15="http://schemas.microsoft.com/office/drawing/2012/chart" uri="{CE6537A1-D6FC-4f65-9D91-7224C49458BB}"/>
          </c:extLst>
        </c:dLbl>
      </c:pivotFmt>
      <c:pivotFmt>
        <c:idx val="121"/>
        <c:dLbl>
          <c:idx val="0"/>
          <c:showLegendKey val="0"/>
          <c:showVal val="0"/>
          <c:showCatName val="0"/>
          <c:showSerName val="0"/>
          <c:showPercent val="0"/>
          <c:showBubbleSize val="0"/>
          <c:extLst>
            <c:ext xmlns:c15="http://schemas.microsoft.com/office/drawing/2012/chart" uri="{CE6537A1-D6FC-4f65-9D91-7224C49458BB}"/>
          </c:extLst>
        </c:dLbl>
      </c:pivotFmt>
      <c:pivotFmt>
        <c:idx val="122"/>
        <c:dLbl>
          <c:idx val="0"/>
          <c:showLegendKey val="0"/>
          <c:showVal val="0"/>
          <c:showCatName val="0"/>
          <c:showSerName val="0"/>
          <c:showPercent val="0"/>
          <c:showBubbleSize val="0"/>
          <c:extLst>
            <c:ext xmlns:c15="http://schemas.microsoft.com/office/drawing/2012/chart" uri="{CE6537A1-D6FC-4f65-9D91-7224C49458BB}"/>
          </c:extLst>
        </c:dLbl>
      </c:pivotFmt>
      <c:pivotFmt>
        <c:idx val="123"/>
        <c:dLbl>
          <c:idx val="0"/>
          <c:showLegendKey val="0"/>
          <c:showVal val="0"/>
          <c:showCatName val="0"/>
          <c:showSerName val="0"/>
          <c:showPercent val="0"/>
          <c:showBubbleSize val="0"/>
          <c:extLst>
            <c:ext xmlns:c15="http://schemas.microsoft.com/office/drawing/2012/chart" uri="{CE6537A1-D6FC-4f65-9D91-7224C49458BB}"/>
          </c:extLst>
        </c:dLbl>
      </c:pivotFmt>
      <c:pivotFmt>
        <c:idx val="124"/>
        <c:dLbl>
          <c:idx val="0"/>
          <c:showLegendKey val="0"/>
          <c:showVal val="0"/>
          <c:showCatName val="0"/>
          <c:showSerName val="0"/>
          <c:showPercent val="0"/>
          <c:showBubbleSize val="0"/>
          <c:extLst>
            <c:ext xmlns:c15="http://schemas.microsoft.com/office/drawing/2012/chart" uri="{CE6537A1-D6FC-4f65-9D91-7224C49458BB}"/>
          </c:extLst>
        </c:dLbl>
      </c:pivotFmt>
      <c:pivotFmt>
        <c:idx val="125"/>
        <c:dLbl>
          <c:idx val="0"/>
          <c:showLegendKey val="0"/>
          <c:showVal val="0"/>
          <c:showCatName val="0"/>
          <c:showSerName val="0"/>
          <c:showPercent val="0"/>
          <c:showBubbleSize val="0"/>
          <c:extLst>
            <c:ext xmlns:c15="http://schemas.microsoft.com/office/drawing/2012/chart" uri="{CE6537A1-D6FC-4f65-9D91-7224C49458BB}"/>
          </c:extLst>
        </c:dLbl>
      </c:pivotFmt>
      <c:pivotFmt>
        <c:idx val="126"/>
        <c:dLbl>
          <c:idx val="0"/>
          <c:showLegendKey val="0"/>
          <c:showVal val="0"/>
          <c:showCatName val="0"/>
          <c:showSerName val="0"/>
          <c:showPercent val="0"/>
          <c:showBubbleSize val="0"/>
          <c:extLst>
            <c:ext xmlns:c15="http://schemas.microsoft.com/office/drawing/2012/chart" uri="{CE6537A1-D6FC-4f65-9D91-7224C49458BB}"/>
          </c:extLst>
        </c:dLbl>
      </c:pivotFmt>
      <c:pivotFmt>
        <c:idx val="127"/>
        <c:dLbl>
          <c:idx val="0"/>
          <c:showLegendKey val="0"/>
          <c:showVal val="0"/>
          <c:showCatName val="0"/>
          <c:showSerName val="0"/>
          <c:showPercent val="0"/>
          <c:showBubbleSize val="0"/>
          <c:extLst>
            <c:ext xmlns:c15="http://schemas.microsoft.com/office/drawing/2012/chart" uri="{CE6537A1-D6FC-4f65-9D91-7224C49458BB}"/>
          </c:extLst>
        </c:dLbl>
      </c:pivotFmt>
      <c:pivotFmt>
        <c:idx val="128"/>
        <c:dLbl>
          <c:idx val="0"/>
          <c:showLegendKey val="0"/>
          <c:showVal val="0"/>
          <c:showCatName val="0"/>
          <c:showSerName val="0"/>
          <c:showPercent val="0"/>
          <c:showBubbleSize val="0"/>
          <c:extLst>
            <c:ext xmlns:c15="http://schemas.microsoft.com/office/drawing/2012/chart" uri="{CE6537A1-D6FC-4f65-9D91-7224C49458BB}"/>
          </c:extLst>
        </c:dLbl>
      </c:pivotFmt>
      <c:pivotFmt>
        <c:idx val="129"/>
        <c:dLbl>
          <c:idx val="0"/>
          <c:showLegendKey val="0"/>
          <c:showVal val="0"/>
          <c:showCatName val="0"/>
          <c:showSerName val="0"/>
          <c:showPercent val="0"/>
          <c:showBubbleSize val="0"/>
          <c:extLst>
            <c:ext xmlns:c15="http://schemas.microsoft.com/office/drawing/2012/chart" uri="{CE6537A1-D6FC-4f65-9D91-7224C49458BB}"/>
          </c:extLst>
        </c:dLbl>
      </c:pivotFmt>
      <c:pivotFmt>
        <c:idx val="130"/>
        <c:dLbl>
          <c:idx val="0"/>
          <c:showLegendKey val="0"/>
          <c:showVal val="0"/>
          <c:showCatName val="0"/>
          <c:showSerName val="0"/>
          <c:showPercent val="0"/>
          <c:showBubbleSize val="0"/>
          <c:extLst>
            <c:ext xmlns:c15="http://schemas.microsoft.com/office/drawing/2012/chart" uri="{CE6537A1-D6FC-4f65-9D91-7224C49458BB}"/>
          </c:extLst>
        </c:dLbl>
      </c:pivotFmt>
      <c:pivotFmt>
        <c:idx val="131"/>
        <c:dLbl>
          <c:idx val="0"/>
          <c:showLegendKey val="0"/>
          <c:showVal val="0"/>
          <c:showCatName val="0"/>
          <c:showSerName val="0"/>
          <c:showPercent val="0"/>
          <c:showBubbleSize val="0"/>
          <c:extLst>
            <c:ext xmlns:c15="http://schemas.microsoft.com/office/drawing/2012/chart" uri="{CE6537A1-D6FC-4f65-9D91-7224C49458BB}"/>
          </c:extLst>
        </c:dLbl>
      </c:pivotFmt>
      <c:pivotFmt>
        <c:idx val="132"/>
        <c:dLbl>
          <c:idx val="0"/>
          <c:showLegendKey val="0"/>
          <c:showVal val="0"/>
          <c:showCatName val="0"/>
          <c:showSerName val="0"/>
          <c:showPercent val="0"/>
          <c:showBubbleSize val="0"/>
          <c:extLst>
            <c:ext xmlns:c15="http://schemas.microsoft.com/office/drawing/2012/chart" uri="{CE6537A1-D6FC-4f65-9D91-7224C49458BB}"/>
          </c:extLst>
        </c:dLbl>
      </c:pivotFmt>
      <c:pivotFmt>
        <c:idx val="133"/>
        <c:dLbl>
          <c:idx val="0"/>
          <c:showLegendKey val="0"/>
          <c:showVal val="0"/>
          <c:showCatName val="0"/>
          <c:showSerName val="0"/>
          <c:showPercent val="0"/>
          <c:showBubbleSize val="0"/>
          <c:extLst>
            <c:ext xmlns:c15="http://schemas.microsoft.com/office/drawing/2012/chart" uri="{CE6537A1-D6FC-4f65-9D91-7224C49458BB}"/>
          </c:extLst>
        </c:dLbl>
      </c:pivotFmt>
      <c:pivotFmt>
        <c:idx val="134"/>
        <c:dLbl>
          <c:idx val="0"/>
          <c:showLegendKey val="0"/>
          <c:showVal val="0"/>
          <c:showCatName val="0"/>
          <c:showSerName val="0"/>
          <c:showPercent val="0"/>
          <c:showBubbleSize val="0"/>
          <c:extLst>
            <c:ext xmlns:c15="http://schemas.microsoft.com/office/drawing/2012/chart" uri="{CE6537A1-D6FC-4f65-9D91-7224C49458BB}"/>
          </c:extLst>
        </c:dLbl>
      </c:pivotFmt>
      <c:pivotFmt>
        <c:idx val="135"/>
        <c:dLbl>
          <c:idx val="0"/>
          <c:showLegendKey val="0"/>
          <c:showVal val="0"/>
          <c:showCatName val="0"/>
          <c:showSerName val="0"/>
          <c:showPercent val="0"/>
          <c:showBubbleSize val="0"/>
          <c:extLst>
            <c:ext xmlns:c15="http://schemas.microsoft.com/office/drawing/2012/chart" uri="{CE6537A1-D6FC-4f65-9D91-7224C49458BB}"/>
          </c:extLst>
        </c:dLbl>
      </c:pivotFmt>
      <c:pivotFmt>
        <c:idx val="136"/>
        <c:dLbl>
          <c:idx val="0"/>
          <c:showLegendKey val="0"/>
          <c:showVal val="0"/>
          <c:showCatName val="0"/>
          <c:showSerName val="0"/>
          <c:showPercent val="0"/>
          <c:showBubbleSize val="0"/>
          <c:extLst>
            <c:ext xmlns:c15="http://schemas.microsoft.com/office/drawing/2012/chart" uri="{CE6537A1-D6FC-4f65-9D91-7224C49458BB}"/>
          </c:extLst>
        </c:dLbl>
      </c:pivotFmt>
      <c:pivotFmt>
        <c:idx val="137"/>
        <c:dLbl>
          <c:idx val="0"/>
          <c:showLegendKey val="0"/>
          <c:showVal val="0"/>
          <c:showCatName val="0"/>
          <c:showSerName val="0"/>
          <c:showPercent val="0"/>
          <c:showBubbleSize val="0"/>
          <c:extLst>
            <c:ext xmlns:c15="http://schemas.microsoft.com/office/drawing/2012/chart" uri="{CE6537A1-D6FC-4f65-9D91-7224C49458BB}"/>
          </c:extLst>
        </c:dLbl>
      </c:pivotFmt>
      <c:pivotFmt>
        <c:idx val="138"/>
        <c:dLbl>
          <c:idx val="0"/>
          <c:showLegendKey val="0"/>
          <c:showVal val="0"/>
          <c:showCatName val="0"/>
          <c:showSerName val="0"/>
          <c:showPercent val="0"/>
          <c:showBubbleSize val="0"/>
          <c:extLst>
            <c:ext xmlns:c15="http://schemas.microsoft.com/office/drawing/2012/chart" uri="{CE6537A1-D6FC-4f65-9D91-7224C49458BB}"/>
          </c:extLst>
        </c:dLbl>
      </c:pivotFmt>
      <c:pivotFmt>
        <c:idx val="139"/>
        <c:dLbl>
          <c:idx val="0"/>
          <c:showLegendKey val="0"/>
          <c:showVal val="0"/>
          <c:showCatName val="0"/>
          <c:showSerName val="0"/>
          <c:showPercent val="0"/>
          <c:showBubbleSize val="0"/>
          <c:extLst>
            <c:ext xmlns:c15="http://schemas.microsoft.com/office/drawing/2012/chart" uri="{CE6537A1-D6FC-4f65-9D91-7224C49458BB}"/>
          </c:extLst>
        </c:dLbl>
      </c:pivotFmt>
      <c:pivotFmt>
        <c:idx val="140"/>
        <c:dLbl>
          <c:idx val="0"/>
          <c:showLegendKey val="0"/>
          <c:showVal val="0"/>
          <c:showCatName val="0"/>
          <c:showSerName val="0"/>
          <c:showPercent val="0"/>
          <c:showBubbleSize val="0"/>
          <c:extLst>
            <c:ext xmlns:c15="http://schemas.microsoft.com/office/drawing/2012/chart" uri="{CE6537A1-D6FC-4f65-9D91-7224C49458BB}"/>
          </c:extLst>
        </c:dLbl>
      </c:pivotFmt>
      <c:pivotFmt>
        <c:idx val="141"/>
        <c:dLbl>
          <c:idx val="0"/>
          <c:showLegendKey val="0"/>
          <c:showVal val="0"/>
          <c:showCatName val="0"/>
          <c:showSerName val="0"/>
          <c:showPercent val="0"/>
          <c:showBubbleSize val="0"/>
          <c:extLst>
            <c:ext xmlns:c15="http://schemas.microsoft.com/office/drawing/2012/chart" uri="{CE6537A1-D6FC-4f65-9D91-7224C49458BB}"/>
          </c:extLst>
        </c:dLbl>
      </c:pivotFmt>
      <c:pivotFmt>
        <c:idx val="142"/>
        <c:dLbl>
          <c:idx val="0"/>
          <c:showLegendKey val="0"/>
          <c:showVal val="0"/>
          <c:showCatName val="0"/>
          <c:showSerName val="0"/>
          <c:showPercent val="0"/>
          <c:showBubbleSize val="0"/>
          <c:extLst>
            <c:ext xmlns:c15="http://schemas.microsoft.com/office/drawing/2012/chart" uri="{CE6537A1-D6FC-4f65-9D91-7224C49458BB}"/>
          </c:extLst>
        </c:dLbl>
      </c:pivotFmt>
      <c:pivotFmt>
        <c:idx val="143"/>
        <c:dLbl>
          <c:idx val="0"/>
          <c:showLegendKey val="0"/>
          <c:showVal val="0"/>
          <c:showCatName val="0"/>
          <c:showSerName val="0"/>
          <c:showPercent val="0"/>
          <c:showBubbleSize val="0"/>
          <c:extLst>
            <c:ext xmlns:c15="http://schemas.microsoft.com/office/drawing/2012/chart" uri="{CE6537A1-D6FC-4f65-9D91-7224C49458BB}"/>
          </c:extLst>
        </c:dLbl>
      </c:pivotFmt>
      <c:pivotFmt>
        <c:idx val="144"/>
        <c:dLbl>
          <c:idx val="0"/>
          <c:showLegendKey val="0"/>
          <c:showVal val="0"/>
          <c:showCatName val="0"/>
          <c:showSerName val="0"/>
          <c:showPercent val="0"/>
          <c:showBubbleSize val="0"/>
          <c:extLst>
            <c:ext xmlns:c15="http://schemas.microsoft.com/office/drawing/2012/chart" uri="{CE6537A1-D6FC-4f65-9D91-7224C49458BB}"/>
          </c:extLst>
        </c:dLbl>
      </c:pivotFmt>
      <c:pivotFmt>
        <c:idx val="145"/>
        <c:dLbl>
          <c:idx val="0"/>
          <c:showLegendKey val="0"/>
          <c:showVal val="0"/>
          <c:showCatName val="0"/>
          <c:showSerName val="0"/>
          <c:showPercent val="0"/>
          <c:showBubbleSize val="0"/>
          <c:extLst>
            <c:ext xmlns:c15="http://schemas.microsoft.com/office/drawing/2012/chart" uri="{CE6537A1-D6FC-4f65-9D91-7224C49458BB}"/>
          </c:extLst>
        </c:dLbl>
      </c:pivotFmt>
      <c:pivotFmt>
        <c:idx val="146"/>
        <c:dLbl>
          <c:idx val="0"/>
          <c:showLegendKey val="0"/>
          <c:showVal val="0"/>
          <c:showCatName val="0"/>
          <c:showSerName val="0"/>
          <c:showPercent val="0"/>
          <c:showBubbleSize val="0"/>
          <c:extLst>
            <c:ext xmlns:c15="http://schemas.microsoft.com/office/drawing/2012/chart" uri="{CE6537A1-D6FC-4f65-9D91-7224C49458BB}"/>
          </c:extLst>
        </c:dLbl>
      </c:pivotFmt>
      <c:pivotFmt>
        <c:idx val="147"/>
        <c:dLbl>
          <c:idx val="0"/>
          <c:showLegendKey val="0"/>
          <c:showVal val="0"/>
          <c:showCatName val="0"/>
          <c:showSerName val="0"/>
          <c:showPercent val="0"/>
          <c:showBubbleSize val="0"/>
          <c:extLst>
            <c:ext xmlns:c15="http://schemas.microsoft.com/office/drawing/2012/chart" uri="{CE6537A1-D6FC-4f65-9D91-7224C49458BB}"/>
          </c:extLst>
        </c:dLbl>
      </c:pivotFmt>
      <c:pivotFmt>
        <c:idx val="148"/>
        <c:dLbl>
          <c:idx val="0"/>
          <c:showLegendKey val="0"/>
          <c:showVal val="0"/>
          <c:showCatName val="0"/>
          <c:showSerName val="0"/>
          <c:showPercent val="0"/>
          <c:showBubbleSize val="0"/>
          <c:extLst>
            <c:ext xmlns:c15="http://schemas.microsoft.com/office/drawing/2012/chart" uri="{CE6537A1-D6FC-4f65-9D91-7224C49458BB}"/>
          </c:extLst>
        </c:dLbl>
      </c:pivotFmt>
      <c:pivotFmt>
        <c:idx val="149"/>
        <c:dLbl>
          <c:idx val="0"/>
          <c:showLegendKey val="0"/>
          <c:showVal val="0"/>
          <c:showCatName val="0"/>
          <c:showSerName val="0"/>
          <c:showPercent val="0"/>
          <c:showBubbleSize val="0"/>
          <c:extLst>
            <c:ext xmlns:c15="http://schemas.microsoft.com/office/drawing/2012/chart" uri="{CE6537A1-D6FC-4f65-9D91-7224C49458BB}"/>
          </c:extLst>
        </c:dLbl>
      </c:pivotFmt>
      <c:pivotFmt>
        <c:idx val="150"/>
        <c:dLbl>
          <c:idx val="0"/>
          <c:showLegendKey val="0"/>
          <c:showVal val="0"/>
          <c:showCatName val="0"/>
          <c:showSerName val="0"/>
          <c:showPercent val="0"/>
          <c:showBubbleSize val="0"/>
          <c:extLst>
            <c:ext xmlns:c15="http://schemas.microsoft.com/office/drawing/2012/chart" uri="{CE6537A1-D6FC-4f65-9D91-7224C49458BB}"/>
          </c:extLst>
        </c:dLbl>
      </c:pivotFmt>
      <c:pivotFmt>
        <c:idx val="151"/>
        <c:dLbl>
          <c:idx val="0"/>
          <c:showLegendKey val="0"/>
          <c:showVal val="0"/>
          <c:showCatName val="0"/>
          <c:showSerName val="0"/>
          <c:showPercent val="0"/>
          <c:showBubbleSize val="0"/>
          <c:extLst>
            <c:ext xmlns:c15="http://schemas.microsoft.com/office/drawing/2012/chart" uri="{CE6537A1-D6FC-4f65-9D91-7224C49458BB}"/>
          </c:extLst>
        </c:dLbl>
      </c:pivotFmt>
      <c:pivotFmt>
        <c:idx val="152"/>
        <c:dLbl>
          <c:idx val="0"/>
          <c:showLegendKey val="0"/>
          <c:showVal val="0"/>
          <c:showCatName val="0"/>
          <c:showSerName val="0"/>
          <c:showPercent val="0"/>
          <c:showBubbleSize val="0"/>
          <c:extLst>
            <c:ext xmlns:c15="http://schemas.microsoft.com/office/drawing/2012/chart" uri="{CE6537A1-D6FC-4f65-9D91-7224C49458BB}"/>
          </c:extLst>
        </c:dLbl>
      </c:pivotFmt>
      <c:pivotFmt>
        <c:idx val="153"/>
        <c:dLbl>
          <c:idx val="0"/>
          <c:showLegendKey val="0"/>
          <c:showVal val="0"/>
          <c:showCatName val="0"/>
          <c:showSerName val="0"/>
          <c:showPercent val="0"/>
          <c:showBubbleSize val="0"/>
          <c:extLst>
            <c:ext xmlns:c15="http://schemas.microsoft.com/office/drawing/2012/chart" uri="{CE6537A1-D6FC-4f65-9D91-7224C49458BB}"/>
          </c:extLst>
        </c:dLbl>
      </c:pivotFmt>
      <c:pivotFmt>
        <c:idx val="154"/>
        <c:dLbl>
          <c:idx val="0"/>
          <c:showLegendKey val="0"/>
          <c:showVal val="0"/>
          <c:showCatName val="0"/>
          <c:showSerName val="0"/>
          <c:showPercent val="0"/>
          <c:showBubbleSize val="0"/>
          <c:extLst>
            <c:ext xmlns:c15="http://schemas.microsoft.com/office/drawing/2012/chart" uri="{CE6537A1-D6FC-4f65-9D91-7224C49458BB}"/>
          </c:extLst>
        </c:dLbl>
      </c:pivotFmt>
      <c:pivotFmt>
        <c:idx val="155"/>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dLblPos val="outEnd"/>
          <c:showLegendKey val="0"/>
          <c:showVal val="0"/>
          <c:showCatName val="0"/>
          <c:showSerName val="1"/>
          <c:showPercent val="0"/>
          <c:showBubbleSize val="0"/>
          <c:extLst>
            <c:ext xmlns:c15="http://schemas.microsoft.com/office/drawing/2012/chart" uri="{CE6537A1-D6FC-4f65-9D91-7224C49458BB}"/>
          </c:extLst>
        </c:dLbl>
      </c:pivotFmt>
      <c:pivotFmt>
        <c:idx val="157"/>
        <c:dLbl>
          <c:idx val="0"/>
          <c:showLegendKey val="0"/>
          <c:showVal val="0"/>
          <c:showCatName val="0"/>
          <c:showSerName val="0"/>
          <c:showPercent val="0"/>
          <c:showBubbleSize val="0"/>
          <c:extLst>
            <c:ext xmlns:c15="http://schemas.microsoft.com/office/drawing/2012/chart" uri="{CE6537A1-D6FC-4f65-9D91-7224C49458BB}"/>
          </c:extLst>
        </c:dLbl>
      </c:pivotFmt>
      <c:pivotFmt>
        <c:idx val="158"/>
        <c:dLbl>
          <c:idx val="0"/>
          <c:showLegendKey val="0"/>
          <c:showVal val="0"/>
          <c:showCatName val="0"/>
          <c:showSerName val="0"/>
          <c:showPercent val="0"/>
          <c:showBubbleSize val="0"/>
          <c:extLst>
            <c:ext xmlns:c15="http://schemas.microsoft.com/office/drawing/2012/chart" uri="{CE6537A1-D6FC-4f65-9D91-7224C49458BB}"/>
          </c:extLst>
        </c:dLbl>
      </c:pivotFmt>
      <c:pivotFmt>
        <c:idx val="159"/>
        <c:dLbl>
          <c:idx val="0"/>
          <c:showLegendKey val="0"/>
          <c:showVal val="0"/>
          <c:showCatName val="0"/>
          <c:showSerName val="0"/>
          <c:showPercent val="0"/>
          <c:showBubbleSize val="0"/>
          <c:extLst>
            <c:ext xmlns:c15="http://schemas.microsoft.com/office/drawing/2012/chart" uri="{CE6537A1-D6FC-4f65-9D91-7224C49458BB}"/>
          </c:extLst>
        </c:dLbl>
      </c:pivotFmt>
      <c:pivotFmt>
        <c:idx val="160"/>
        <c:dLbl>
          <c:idx val="0"/>
          <c:showLegendKey val="0"/>
          <c:showVal val="0"/>
          <c:showCatName val="0"/>
          <c:showSerName val="0"/>
          <c:showPercent val="0"/>
          <c:showBubbleSize val="0"/>
          <c:extLst>
            <c:ext xmlns:c15="http://schemas.microsoft.com/office/drawing/2012/chart" uri="{CE6537A1-D6FC-4f65-9D91-7224C49458BB}"/>
          </c:extLst>
        </c:dLbl>
      </c:pivotFmt>
      <c:pivotFmt>
        <c:idx val="161"/>
        <c:dLbl>
          <c:idx val="0"/>
          <c:showLegendKey val="0"/>
          <c:showVal val="0"/>
          <c:showCatName val="0"/>
          <c:showSerName val="0"/>
          <c:showPercent val="0"/>
          <c:showBubbleSize val="0"/>
          <c:extLst>
            <c:ext xmlns:c15="http://schemas.microsoft.com/office/drawing/2012/chart" uri="{CE6537A1-D6FC-4f65-9D91-7224C49458BB}"/>
          </c:extLst>
        </c:dLbl>
      </c:pivotFmt>
      <c:pivotFmt>
        <c:idx val="162"/>
        <c:dLbl>
          <c:idx val="0"/>
          <c:showLegendKey val="0"/>
          <c:showVal val="0"/>
          <c:showCatName val="0"/>
          <c:showSerName val="0"/>
          <c:showPercent val="0"/>
          <c:showBubbleSize val="0"/>
          <c:extLst>
            <c:ext xmlns:c15="http://schemas.microsoft.com/office/drawing/2012/chart" uri="{CE6537A1-D6FC-4f65-9D91-7224C49458BB}"/>
          </c:extLst>
        </c:dLbl>
      </c:pivotFmt>
      <c:pivotFmt>
        <c:idx val="163"/>
        <c:dLbl>
          <c:idx val="0"/>
          <c:showLegendKey val="0"/>
          <c:showVal val="0"/>
          <c:showCatName val="0"/>
          <c:showSerName val="0"/>
          <c:showPercent val="0"/>
          <c:showBubbleSize val="0"/>
          <c:extLst>
            <c:ext xmlns:c15="http://schemas.microsoft.com/office/drawing/2012/chart" uri="{CE6537A1-D6FC-4f65-9D91-7224C49458BB}"/>
          </c:extLst>
        </c:dLbl>
      </c:pivotFmt>
      <c:pivotFmt>
        <c:idx val="164"/>
        <c:dLbl>
          <c:idx val="0"/>
          <c:showLegendKey val="0"/>
          <c:showVal val="0"/>
          <c:showCatName val="0"/>
          <c:showSerName val="0"/>
          <c:showPercent val="0"/>
          <c:showBubbleSize val="0"/>
          <c:extLst>
            <c:ext xmlns:c15="http://schemas.microsoft.com/office/drawing/2012/chart" uri="{CE6537A1-D6FC-4f65-9D91-7224C49458BB}"/>
          </c:extLst>
        </c:dLbl>
      </c:pivotFmt>
      <c:pivotFmt>
        <c:idx val="165"/>
        <c:dLbl>
          <c:idx val="0"/>
          <c:showLegendKey val="0"/>
          <c:showVal val="0"/>
          <c:showCatName val="0"/>
          <c:showSerName val="0"/>
          <c:showPercent val="0"/>
          <c:showBubbleSize val="0"/>
          <c:extLst>
            <c:ext xmlns:c15="http://schemas.microsoft.com/office/drawing/2012/chart" uri="{CE6537A1-D6FC-4f65-9D91-7224C49458BB}"/>
          </c:extLst>
        </c:dLbl>
      </c:pivotFmt>
      <c:pivotFmt>
        <c:idx val="166"/>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inEnd"/>
          <c:showLegendKey val="0"/>
          <c:showVal val="0"/>
          <c:showCatName val="0"/>
          <c:showSerName val="1"/>
          <c:showPercent val="0"/>
          <c:showBubbleSize val="0"/>
          <c:extLst>
            <c:ext xmlns:c15="http://schemas.microsoft.com/office/drawing/2012/chart" uri="{CE6537A1-D6FC-4f65-9D91-7224C49458BB}"/>
          </c:extLst>
        </c:dLbl>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inEnd"/>
          <c:showLegendKey val="0"/>
          <c:showVal val="0"/>
          <c:showCatName val="0"/>
          <c:showSerName val="1"/>
          <c:showPercent val="0"/>
          <c:showBubbleSize val="0"/>
          <c:extLst>
            <c:ext xmlns:c15="http://schemas.microsoft.com/office/drawing/2012/chart" uri="{CE6537A1-D6FC-4f65-9D91-7224C49458BB}"/>
          </c:extLst>
        </c:dLbl>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inEnd"/>
          <c:showLegendKey val="0"/>
          <c:showVal val="0"/>
          <c:showCatName val="0"/>
          <c:showSerName val="1"/>
          <c:showPercent val="0"/>
          <c:showBubbleSize val="0"/>
          <c:extLst>
            <c:ext xmlns:c15="http://schemas.microsoft.com/office/drawing/2012/chart" uri="{CE6537A1-D6FC-4f65-9D91-7224C49458BB}"/>
          </c:extLst>
        </c:dLbl>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inEnd"/>
          <c:showLegendKey val="0"/>
          <c:showVal val="0"/>
          <c:showCatName val="0"/>
          <c:showSerName val="1"/>
          <c:showPercent val="0"/>
          <c:showBubbleSize val="0"/>
          <c:extLst>
            <c:ext xmlns:c15="http://schemas.microsoft.com/office/drawing/2012/chart" uri="{CE6537A1-D6FC-4f65-9D91-7224C49458BB}"/>
          </c:extLst>
        </c:dLbl>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5400000" spcFirstLastPara="1" vertOverflow="ellipsis" vert="horz" wrap="square" lIns="38100" tIns="19050" rIns="38100" bIns="19050" anchor="ctr" anchorCtr="0">
              <a:spAutoFit/>
            </a:bodyPr>
            <a:lstStyle/>
            <a:p>
              <a:pPr algn="ctr" rtl="0">
                <a:defRPr lang="en-US" sz="1200" b="1" i="0" u="none" strike="noStrike" kern="1200" baseline="0">
                  <a:solidFill>
                    <a:srgbClr val="000000"/>
                  </a:solidFill>
                  <a:latin typeface="+mn-lt"/>
                  <a:ea typeface="+mn-ea"/>
                  <a:cs typeface="+mn-cs"/>
                </a:defRPr>
              </a:pPr>
              <a:endParaRPr lang="nl-NL"/>
            </a:p>
          </c:txPr>
          <c:dLblPos val="outEnd"/>
          <c:showLegendKey val="0"/>
          <c:showVal val="0"/>
          <c:showCatName val="0"/>
          <c:showSerName val="1"/>
          <c:showPercent val="0"/>
          <c:showBubbleSize val="0"/>
          <c:extLst>
            <c:ext xmlns:c15="http://schemas.microsoft.com/office/drawing/2012/chart" uri="{CE6537A1-D6FC-4f65-9D91-7224C49458BB}"/>
          </c:extLst>
        </c:dLbl>
      </c:pivotFmt>
      <c:pivotFmt>
        <c:idx val="188"/>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dLblPos val="inEnd"/>
          <c:showLegendKey val="0"/>
          <c:showVal val="0"/>
          <c:showCatName val="0"/>
          <c:showSerName val="0"/>
          <c:showPercent val="0"/>
          <c:showBubbleSize val="0"/>
          <c:extLst>
            <c:ext xmlns:c15="http://schemas.microsoft.com/office/drawing/2012/chart" uri="{CE6537A1-D6FC-4f65-9D91-7224C49458BB}"/>
          </c:extLst>
        </c:dLbl>
      </c:pivotFmt>
      <c:pivotFmt>
        <c:idx val="2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1"/>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2"/>
        <c:spPr>
          <a:solidFill>
            <a:srgbClr val="658A9B"/>
          </a:solidFill>
          <a:ln>
            <a:solidFill>
              <a:srgbClr val="658A9B"/>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3"/>
        <c:spPr>
          <a:solidFill>
            <a:srgbClr val="658A9B"/>
          </a:solidFill>
          <a:ln>
            <a:solidFill>
              <a:srgbClr val="658A9B"/>
            </a:solidFill>
          </a:ln>
          <a:effectLst/>
        </c:spPr>
      </c:pivotFmt>
      <c:pivotFmt>
        <c:idx val="244"/>
        <c:spPr>
          <a:solidFill>
            <a:srgbClr val="658A9B"/>
          </a:solidFill>
          <a:ln>
            <a:solidFill>
              <a:srgbClr val="658A9B"/>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5"/>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6"/>
        <c:spPr>
          <a:solidFill>
            <a:srgbClr val="658A9B"/>
          </a:solidFill>
          <a:ln>
            <a:solidFill>
              <a:srgbClr val="658A9B"/>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7"/>
        <c:spPr>
          <a:solidFill>
            <a:srgbClr val="A8D08D"/>
          </a:solidFill>
          <a:ln>
            <a:solidFill>
              <a:srgbClr val="A8D08D"/>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0"/>
        <c:spPr>
          <a:solidFill>
            <a:srgbClr val="658A9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1"/>
        <c:spPr>
          <a:solidFill>
            <a:srgbClr val="A8D08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663139978213511"/>
          <c:y val="0.10081820066334991"/>
          <c:w val="0.6605205610021786"/>
          <c:h val="0.81368159203980095"/>
        </c:manualLayout>
      </c:layout>
      <c:barChart>
        <c:barDir val="bar"/>
        <c:grouping val="stacked"/>
        <c:varyColors val="0"/>
        <c:ser>
          <c:idx val="0"/>
          <c:order val="0"/>
          <c:tx>
            <c:strRef>
              <c:f>Pivots!$C$47:$C$48</c:f>
              <c:strCache>
                <c:ptCount val="1"/>
                <c:pt idx="0">
                  <c:v>Residual waste</c:v>
                </c:pt>
              </c:strCache>
            </c:strRef>
          </c:tx>
          <c:spPr>
            <a:solidFill>
              <a:srgbClr val="658A9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Pivots!$B$49:$B$59</c:f>
              <c:strCache>
                <c:ptCount val="10"/>
                <c:pt idx="0">
                  <c:v>Aluminum</c:v>
                </c:pt>
                <c:pt idx="1">
                  <c:v>Building / demolition</c:v>
                </c:pt>
                <c:pt idx="2">
                  <c:v>Cooking oil</c:v>
                </c:pt>
                <c:pt idx="3">
                  <c:v>Glass</c:v>
                </c:pt>
                <c:pt idx="4">
                  <c:v>Metals</c:v>
                </c:pt>
                <c:pt idx="5">
                  <c:v>Organic / food</c:v>
                </c:pt>
                <c:pt idx="6">
                  <c:v>Paper/cardboard</c:v>
                </c:pt>
                <c:pt idx="7">
                  <c:v>Plastic</c:v>
                </c:pt>
                <c:pt idx="8">
                  <c:v>Residual</c:v>
                </c:pt>
                <c:pt idx="9">
                  <c:v>Wood</c:v>
                </c:pt>
              </c:strCache>
            </c:strRef>
          </c:cat>
          <c:val>
            <c:numRef>
              <c:f>Pivots!$C$49:$C$59</c:f>
              <c:numCache>
                <c:formatCode>General</c:formatCode>
                <c:ptCount val="10"/>
                <c:pt idx="8">
                  <c:v>0</c:v>
                </c:pt>
              </c:numCache>
            </c:numRef>
          </c:val>
          <c:extLst>
            <c:ext xmlns:c16="http://schemas.microsoft.com/office/drawing/2014/chart" uri="{C3380CC4-5D6E-409C-BE32-E72D297353CC}">
              <c16:uniqueId val="{00000000-40F8-4EE8-A178-92B26B9C2BD4}"/>
            </c:ext>
          </c:extLst>
        </c:ser>
        <c:ser>
          <c:idx val="1"/>
          <c:order val="1"/>
          <c:tx>
            <c:strRef>
              <c:f>Pivots!$D$47:$D$48</c:f>
              <c:strCache>
                <c:ptCount val="1"/>
                <c:pt idx="0">
                  <c:v>Separated for recycling</c:v>
                </c:pt>
              </c:strCache>
            </c:strRef>
          </c:tx>
          <c:spPr>
            <a:solidFill>
              <a:srgbClr val="A8D08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Pivots!$B$49:$B$59</c:f>
              <c:strCache>
                <c:ptCount val="10"/>
                <c:pt idx="0">
                  <c:v>Aluminum</c:v>
                </c:pt>
                <c:pt idx="1">
                  <c:v>Building / demolition</c:v>
                </c:pt>
                <c:pt idx="2">
                  <c:v>Cooking oil</c:v>
                </c:pt>
                <c:pt idx="3">
                  <c:v>Glass</c:v>
                </c:pt>
                <c:pt idx="4">
                  <c:v>Metals</c:v>
                </c:pt>
                <c:pt idx="5">
                  <c:v>Organic / food</c:v>
                </c:pt>
                <c:pt idx="6">
                  <c:v>Paper/cardboard</c:v>
                </c:pt>
                <c:pt idx="7">
                  <c:v>Plastic</c:v>
                </c:pt>
                <c:pt idx="8">
                  <c:v>Residual</c:v>
                </c:pt>
                <c:pt idx="9">
                  <c:v>Wood</c:v>
                </c:pt>
              </c:strCache>
            </c:strRef>
          </c:cat>
          <c:val>
            <c:numRef>
              <c:f>Pivots!$D$49:$D$59</c:f>
              <c:numCache>
                <c:formatCode>General</c:formatCode>
                <c:ptCount val="10"/>
                <c:pt idx="0">
                  <c:v>0</c:v>
                </c:pt>
                <c:pt idx="1">
                  <c:v>0</c:v>
                </c:pt>
                <c:pt idx="2">
                  <c:v>0</c:v>
                </c:pt>
                <c:pt idx="3">
                  <c:v>0</c:v>
                </c:pt>
                <c:pt idx="4">
                  <c:v>0</c:v>
                </c:pt>
                <c:pt idx="5">
                  <c:v>0</c:v>
                </c:pt>
                <c:pt idx="6">
                  <c:v>0</c:v>
                </c:pt>
                <c:pt idx="7">
                  <c:v>0</c:v>
                </c:pt>
                <c:pt idx="9">
                  <c:v>0</c:v>
                </c:pt>
              </c:numCache>
            </c:numRef>
          </c:val>
          <c:extLst>
            <c:ext xmlns:c16="http://schemas.microsoft.com/office/drawing/2014/chart" uri="{C3380CC4-5D6E-409C-BE32-E72D297353CC}">
              <c16:uniqueId val="{00000001-40F8-4EE8-A178-92B26B9C2BD4}"/>
            </c:ext>
          </c:extLst>
        </c:ser>
        <c:dLbls>
          <c:dLblPos val="ctr"/>
          <c:showLegendKey val="0"/>
          <c:showVal val="1"/>
          <c:showCatName val="0"/>
          <c:showSerName val="0"/>
          <c:showPercent val="0"/>
          <c:showBubbleSize val="0"/>
        </c:dLbls>
        <c:gapWidth val="50"/>
        <c:overlap val="100"/>
        <c:axId val="1570447984"/>
        <c:axId val="1570449424"/>
      </c:barChart>
      <c:catAx>
        <c:axId val="1570447984"/>
        <c:scaling>
          <c:orientation val="minMax"/>
        </c:scaling>
        <c:delete val="0"/>
        <c:axPos val="l"/>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0" spcFirstLastPara="1" vertOverflow="ellipsis" wrap="square" anchor="ctr" anchorCtr="1"/>
          <a:lstStyle/>
          <a:p>
            <a:pPr algn="ctr">
              <a:defRPr lang="en-US" sz="1600" b="0" i="0" u="none" strike="noStrike" kern="1200" baseline="0">
                <a:solidFill>
                  <a:schemeClr val="tx1">
                    <a:lumMod val="65000"/>
                    <a:lumOff val="35000"/>
                  </a:schemeClr>
                </a:solidFill>
                <a:latin typeface="+mn-lt"/>
                <a:ea typeface="+mn-ea"/>
                <a:cs typeface="+mn-cs"/>
              </a:defRPr>
            </a:pPr>
            <a:endParaRPr lang="nl-NL"/>
          </a:p>
        </c:txPr>
        <c:crossAx val="1570449424"/>
        <c:crosses val="autoZero"/>
        <c:auto val="1"/>
        <c:lblAlgn val="ctr"/>
        <c:lblOffset val="50"/>
        <c:noMultiLvlLbl val="0"/>
      </c:catAx>
      <c:valAx>
        <c:axId val="1570449424"/>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lgn="ctr">
              <a:defRPr lang="en-US" sz="1400" b="0" i="0" u="none" strike="noStrike" kern="1200" baseline="0">
                <a:solidFill>
                  <a:schemeClr val="tx2"/>
                </a:solidFill>
                <a:latin typeface="+mn-lt"/>
                <a:ea typeface="+mn-ea"/>
                <a:cs typeface="+mn-cs"/>
              </a:defRPr>
            </a:pPr>
            <a:endParaRPr lang="nl-NL"/>
          </a:p>
        </c:txPr>
        <c:crossAx val="1570447984"/>
        <c:crosses val="autoZero"/>
        <c:crossBetween val="between"/>
      </c:valAx>
      <c:spPr>
        <a:noFill/>
        <a:ln>
          <a:noFill/>
        </a:ln>
        <a:effectLst/>
      </c:spPr>
    </c:plotArea>
    <c:legend>
      <c:legendPos val="r"/>
      <c:layout>
        <c:manualLayout>
          <c:xMode val="edge"/>
          <c:yMode val="edge"/>
          <c:x val="0.83093232570806097"/>
          <c:y val="0.38809556384742949"/>
          <c:w val="0.16474441721132899"/>
          <c:h val="0.1719322139303482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2">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[GDCF Monitoring Tool - v1.0 (2026).xlsx]Pivots!PivotTable6</c:name>
    <c:fmtId val="2"/>
  </c:pivotSource>
  <c:chart>
    <c:title>
      <c:tx>
        <c:rich>
          <a:bodyPr rot="0" spcFirstLastPara="1" vertOverflow="ellipsis" vert="horz" wrap="square" anchor="ctr" anchorCtr="1"/>
          <a:lstStyle/>
          <a:p>
            <a:pPr>
              <a:defRPr lang="nl-NL" sz="2800" b="1" i="0" u="none" strike="noStrike" kern="1200" cap="all" spc="50" baseline="0">
                <a:solidFill>
                  <a:srgbClr val="000000">
                    <a:lumMod val="65000"/>
                    <a:lumOff val="35000"/>
                  </a:srgbClr>
                </a:solidFill>
                <a:latin typeface="+mn-lt"/>
                <a:ea typeface="+mn-ea"/>
                <a:cs typeface="+mn-cs"/>
              </a:defRPr>
            </a:pPr>
            <a:r>
              <a:rPr lang="nl-NL" sz="2800" b="1" i="0" u="none" strike="noStrike" kern="1200" cap="all" spc="50" baseline="0">
                <a:solidFill>
                  <a:srgbClr val="000000">
                    <a:lumMod val="65000"/>
                    <a:lumOff val="35000"/>
                  </a:srgbClr>
                </a:solidFill>
                <a:latin typeface="+mn-lt"/>
                <a:ea typeface="+mn-ea"/>
                <a:cs typeface="+mn-cs"/>
              </a:rPr>
              <a:t>Activity data per category (multiple units)</a:t>
            </a:r>
          </a:p>
        </c:rich>
      </c:tx>
      <c:overlay val="0"/>
      <c:spPr>
        <a:noFill/>
        <a:ln>
          <a:noFill/>
        </a:ln>
        <a:effectLst/>
      </c:spPr>
      <c:txPr>
        <a:bodyPr rot="0" spcFirstLastPara="1" vertOverflow="ellipsis" vert="horz" wrap="square" anchor="ctr" anchorCtr="1"/>
        <a:lstStyle/>
        <a:p>
          <a:pPr>
            <a:defRPr lang="nl-NL" sz="2800" b="1" i="0" u="none" strike="noStrike" kern="1200" cap="all" spc="50" baseline="0">
              <a:solidFill>
                <a:srgbClr val="000000">
                  <a:lumMod val="65000"/>
                  <a:lumOff val="35000"/>
                </a:srgb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dLbl>
          <c:idx val="0"/>
          <c:layout>
            <c:manualLayout>
              <c:x val="0"/>
              <c:y val="-8.7301573662421347E-2"/>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dLbl>
          <c:idx val="0"/>
          <c:layout>
            <c:manualLayout>
              <c:x val="-3.1179138043646013E-3"/>
              <c:y val="-0.17678568666640321"/>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dLbl>
          <c:idx val="0"/>
          <c:layout>
            <c:manualLayout>
              <c:x val="-3.7414965652374115E-3"/>
              <c:y val="-0.1898809227157664"/>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dLbl>
          <c:idx val="0"/>
          <c:layout>
            <c:manualLayout>
              <c:x val="3.7414965652373205E-3"/>
              <c:y val="0.20079361942356902"/>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dLbl>
          <c:idx val="0"/>
          <c:layout>
            <c:manualLayout>
              <c:x val="3.1179138043645098E-3"/>
              <c:y val="-0.22480155218073491"/>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dLbl>
          <c:idx val="0"/>
          <c:layout>
            <c:manualLayout>
              <c:x val="0"/>
              <c:y val="0.11130950641958709"/>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14280261268411"/>
          <c:y val="1.4372427983539094E-2"/>
          <c:w val="0.59240158303464752"/>
          <c:h val="0.74916059670781898"/>
        </c:manualLayout>
      </c:layout>
      <c:barChart>
        <c:barDir val="bar"/>
        <c:grouping val="stacked"/>
        <c:varyColors val="0"/>
        <c:ser>
          <c:idx val="0"/>
          <c:order val="0"/>
          <c:tx>
            <c:strRef>
              <c:f>Pivots!$C$159:$C$162</c:f>
              <c:strCache>
                <c:ptCount val="1"/>
                <c:pt idx="0">
                  <c:v>Electricity - Grid - Non-renewable</c:v>
                </c:pt>
              </c:strCache>
            </c:strRef>
          </c:tx>
          <c:spPr>
            <a:solidFill>
              <a:schemeClr val="accent1"/>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Pivots!$C$163:$C$168</c:f>
              <c:numCache>
                <c:formatCode>_ * #,##0_ ;_ * \-#,##0_ ;_ * "-"??_ ;_ @_ </c:formatCode>
                <c:ptCount val="4"/>
                <c:pt idx="1">
                  <c:v>0</c:v>
                </c:pt>
              </c:numCache>
            </c:numRef>
          </c:val>
          <c:extLst>
            <c:ext xmlns:c16="http://schemas.microsoft.com/office/drawing/2014/chart" uri="{C3380CC4-5D6E-409C-BE32-E72D297353CC}">
              <c16:uniqueId val="{00000000-D97C-4B14-B02D-FCBBB96DC6F5}"/>
            </c:ext>
          </c:extLst>
        </c:ser>
        <c:ser>
          <c:idx val="1"/>
          <c:order val="1"/>
          <c:tx>
            <c:strRef>
              <c:f>Pivots!$D$159:$D$162</c:f>
              <c:strCache>
                <c:ptCount val="1"/>
                <c:pt idx="0">
                  <c:v>Electricity - Grid - Renewable</c:v>
                </c:pt>
              </c:strCache>
            </c:strRef>
          </c:tx>
          <c:spPr>
            <a:solidFill>
              <a:schemeClr val="accent2"/>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Pivots!$D$163:$D$168</c:f>
              <c:numCache>
                <c:formatCode>_ * #,##0_ ;_ * \-#,##0_ ;_ * "-"??_ ;_ @_ </c:formatCode>
                <c:ptCount val="4"/>
                <c:pt idx="1">
                  <c:v>0</c:v>
                </c:pt>
              </c:numCache>
            </c:numRef>
          </c:val>
          <c:extLst>
            <c:ext xmlns:c16="http://schemas.microsoft.com/office/drawing/2014/chart" uri="{C3380CC4-5D6E-409C-BE32-E72D297353CC}">
              <c16:uniqueId val="{0000007D-0E47-4C87-A803-B67F4FE49E2B}"/>
            </c:ext>
          </c:extLst>
        </c:ser>
        <c:ser>
          <c:idx val="2"/>
          <c:order val="2"/>
          <c:tx>
            <c:strRef>
              <c:f>Pivots!$E$159:$E$162</c:f>
              <c:strCache>
                <c:ptCount val="1"/>
                <c:pt idx="0">
                  <c:v>Electricity - Local prod. - Renewable</c:v>
                </c:pt>
              </c:strCache>
            </c:strRef>
          </c:tx>
          <c:spPr>
            <a:solidFill>
              <a:schemeClr val="accent3"/>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Pivots!$E$163:$E$168</c:f>
              <c:numCache>
                <c:formatCode>_ * #,##0_ ;_ * \-#,##0_ ;_ * "-"??_ ;_ @_ </c:formatCode>
                <c:ptCount val="4"/>
                <c:pt idx="1">
                  <c:v>0</c:v>
                </c:pt>
              </c:numCache>
            </c:numRef>
          </c:val>
          <c:extLst>
            <c:ext xmlns:c16="http://schemas.microsoft.com/office/drawing/2014/chart" uri="{C3380CC4-5D6E-409C-BE32-E72D297353CC}">
              <c16:uniqueId val="{0000007E-0E47-4C87-A803-B67F4FE49E2B}"/>
            </c:ext>
          </c:extLst>
        </c:ser>
        <c:ser>
          <c:idx val="3"/>
          <c:order val="3"/>
          <c:tx>
            <c:strRef>
              <c:f>Pivots!$F$159:$F$162</c:f>
              <c:strCache>
                <c:ptCount val="1"/>
                <c:pt idx="0">
                  <c:v>Electricity - Batteries - Non-renewable</c:v>
                </c:pt>
              </c:strCache>
            </c:strRef>
          </c:tx>
          <c:spPr>
            <a:solidFill>
              <a:schemeClr val="accent4"/>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Pivots!$F$163:$F$168</c:f>
              <c:numCache>
                <c:formatCode>_ * #,##0_ ;_ * \-#,##0_ ;_ * "-"??_ ;_ @_ </c:formatCode>
                <c:ptCount val="4"/>
                <c:pt idx="1">
                  <c:v>0</c:v>
                </c:pt>
              </c:numCache>
            </c:numRef>
          </c:val>
          <c:extLst>
            <c:ext xmlns:c16="http://schemas.microsoft.com/office/drawing/2014/chart" uri="{C3380CC4-5D6E-409C-BE32-E72D297353CC}">
              <c16:uniqueId val="{0000007F-0E47-4C87-A803-B67F4FE49E2B}"/>
            </c:ext>
          </c:extLst>
        </c:ser>
        <c:ser>
          <c:idx val="4"/>
          <c:order val="4"/>
          <c:tx>
            <c:strRef>
              <c:f>Pivots!$G$159:$G$162</c:f>
              <c:strCache>
                <c:ptCount val="1"/>
                <c:pt idx="0">
                  <c:v>Electricity - Batteries - Renewable</c:v>
                </c:pt>
              </c:strCache>
            </c:strRef>
          </c:tx>
          <c:spPr>
            <a:solidFill>
              <a:schemeClr val="accent5"/>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Pivots!$G$163:$G$168</c:f>
              <c:numCache>
                <c:formatCode>_ * #,##0_ ;_ * \-#,##0_ ;_ * "-"??_ ;_ @_ </c:formatCode>
                <c:ptCount val="4"/>
                <c:pt idx="1">
                  <c:v>0</c:v>
                </c:pt>
              </c:numCache>
            </c:numRef>
          </c:val>
          <c:extLst>
            <c:ext xmlns:c16="http://schemas.microsoft.com/office/drawing/2014/chart" uri="{C3380CC4-5D6E-409C-BE32-E72D297353CC}">
              <c16:uniqueId val="{00000080-0E47-4C87-A803-B67F4FE49E2B}"/>
            </c:ext>
          </c:extLst>
        </c:ser>
        <c:ser>
          <c:idx val="5"/>
          <c:order val="5"/>
          <c:tx>
            <c:strRef>
              <c:f>Pivots!$H$159:$H$162</c:f>
              <c:strCache>
                <c:ptCount val="1"/>
                <c:pt idx="0">
                  <c:v>Biofuel - Generators - Sustainable</c:v>
                </c:pt>
              </c:strCache>
            </c:strRef>
          </c:tx>
          <c:spPr>
            <a:solidFill>
              <a:schemeClr val="accent6"/>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Pivots!$H$163:$H$168</c:f>
              <c:numCache>
                <c:formatCode>_ * #,##0_ ;_ * \-#,##0_ ;_ * "-"??_ ;_ @_ </c:formatCode>
                <c:ptCount val="4"/>
                <c:pt idx="2">
                  <c:v>0</c:v>
                </c:pt>
              </c:numCache>
            </c:numRef>
          </c:val>
          <c:extLst>
            <c:ext xmlns:c16="http://schemas.microsoft.com/office/drawing/2014/chart" uri="{C3380CC4-5D6E-409C-BE32-E72D297353CC}">
              <c16:uniqueId val="{00000081-0E47-4C87-A803-B67F4FE49E2B}"/>
            </c:ext>
          </c:extLst>
        </c:ser>
        <c:ser>
          <c:idx val="6"/>
          <c:order val="6"/>
          <c:tx>
            <c:strRef>
              <c:f>Pivots!$I$159:$I$162</c:f>
              <c:strCache>
                <c:ptCount val="1"/>
                <c:pt idx="0">
                  <c:v>Diesel - Generators - Non-sustainable</c:v>
                </c:pt>
              </c:strCache>
            </c:strRef>
          </c:tx>
          <c:spPr>
            <a:solidFill>
              <a:schemeClr val="accent1">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Pivots!$I$163:$I$168</c:f>
              <c:numCache>
                <c:formatCode>_ * #,##0_ ;_ * \-#,##0_ ;_ * "-"??_ ;_ @_ </c:formatCode>
                <c:ptCount val="4"/>
                <c:pt idx="2">
                  <c:v>0</c:v>
                </c:pt>
              </c:numCache>
            </c:numRef>
          </c:val>
          <c:extLst>
            <c:ext xmlns:c16="http://schemas.microsoft.com/office/drawing/2014/chart" uri="{C3380CC4-5D6E-409C-BE32-E72D297353CC}">
              <c16:uniqueId val="{00000082-0E47-4C87-A803-B67F4FE49E2B}"/>
            </c:ext>
          </c:extLst>
        </c:ser>
        <c:ser>
          <c:idx val="7"/>
          <c:order val="7"/>
          <c:tx>
            <c:strRef>
              <c:f>Pivots!$J$159:$J$162</c:f>
              <c:strCache>
                <c:ptCount val="1"/>
                <c:pt idx="0">
                  <c:v>Biogas - Grid and bottles - Non-sustainable</c:v>
                </c:pt>
              </c:strCache>
            </c:strRef>
          </c:tx>
          <c:spPr>
            <a:solidFill>
              <a:schemeClr val="accent2">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Pivots!$J$163:$J$168</c:f>
              <c:numCache>
                <c:formatCode>_ * #,##0_ ;_ * \-#,##0_ ;_ * "-"??_ ;_ @_ </c:formatCode>
                <c:ptCount val="4"/>
                <c:pt idx="0">
                  <c:v>0</c:v>
                </c:pt>
              </c:numCache>
            </c:numRef>
          </c:val>
          <c:extLst>
            <c:ext xmlns:c16="http://schemas.microsoft.com/office/drawing/2014/chart" uri="{C3380CC4-5D6E-409C-BE32-E72D297353CC}">
              <c16:uniqueId val="{00000083-0E47-4C87-A803-B67F4FE49E2B}"/>
            </c:ext>
          </c:extLst>
        </c:ser>
        <c:ser>
          <c:idx val="8"/>
          <c:order val="8"/>
          <c:tx>
            <c:strRef>
              <c:f>Pivots!$K$159:$K$162</c:f>
              <c:strCache>
                <c:ptCount val="1"/>
                <c:pt idx="0">
                  <c:v>Natural gas - Grid - Non-sustainable</c:v>
                </c:pt>
              </c:strCache>
            </c:strRef>
          </c:tx>
          <c:spPr>
            <a:solidFill>
              <a:schemeClr val="accent3">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Pivots!$K$163:$K$168</c:f>
              <c:numCache>
                <c:formatCode>_ * #,##0_ ;_ * \-#,##0_ ;_ * "-"??_ ;_ @_ </c:formatCode>
                <c:ptCount val="4"/>
                <c:pt idx="3">
                  <c:v>0</c:v>
                </c:pt>
              </c:numCache>
            </c:numRef>
          </c:val>
          <c:extLst>
            <c:ext xmlns:c16="http://schemas.microsoft.com/office/drawing/2014/chart" uri="{C3380CC4-5D6E-409C-BE32-E72D297353CC}">
              <c16:uniqueId val="{00000084-0E47-4C87-A803-B67F4FE49E2B}"/>
            </c:ext>
          </c:extLst>
        </c:ser>
        <c:ser>
          <c:idx val="9"/>
          <c:order val="9"/>
          <c:tx>
            <c:strRef>
              <c:f>Pivots!$L$159:$L$162</c:f>
              <c:strCache>
                <c:ptCount val="1"/>
                <c:pt idx="0">
                  <c:v>Natural gas - Bottles - Non-sustainable</c:v>
                </c:pt>
              </c:strCache>
            </c:strRef>
          </c:tx>
          <c:spPr>
            <a:solidFill>
              <a:schemeClr val="accent4">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Pivots!$L$163:$L$168</c:f>
              <c:numCache>
                <c:formatCode>_ * #,##0_ ;_ * \-#,##0_ ;_ * "-"??_ ;_ @_ </c:formatCode>
                <c:ptCount val="4"/>
                <c:pt idx="0">
                  <c:v>0</c:v>
                </c:pt>
              </c:numCache>
            </c:numRef>
          </c:val>
          <c:extLst>
            <c:ext xmlns:c16="http://schemas.microsoft.com/office/drawing/2014/chart" uri="{C3380CC4-5D6E-409C-BE32-E72D297353CC}">
              <c16:uniqueId val="{00000085-0E47-4C87-A803-B67F4FE49E2B}"/>
            </c:ext>
          </c:extLst>
        </c:ser>
        <c:ser>
          <c:idx val="10"/>
          <c:order val="10"/>
          <c:tx>
            <c:strRef>
              <c:f>Pivots!$M$159:$M$162</c:f>
              <c:strCache>
                <c:ptCount val="1"/>
                <c:pt idx="0">
                  <c:v>Hydrogen - Generators - Non-sustainable</c:v>
                </c:pt>
              </c:strCache>
            </c:strRef>
          </c:tx>
          <c:spPr>
            <a:solidFill>
              <a:schemeClr val="accent5">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Pivots!$M$163:$M$168</c:f>
              <c:numCache>
                <c:formatCode>_ * #,##0_ ;_ * \-#,##0_ ;_ * "-"??_ ;_ @_ </c:formatCode>
                <c:ptCount val="4"/>
                <c:pt idx="0">
                  <c:v>0</c:v>
                </c:pt>
              </c:numCache>
            </c:numRef>
          </c:val>
          <c:extLst>
            <c:ext xmlns:c16="http://schemas.microsoft.com/office/drawing/2014/chart" uri="{C3380CC4-5D6E-409C-BE32-E72D297353CC}">
              <c16:uniqueId val="{00000086-0E47-4C87-A803-B67F4FE49E2B}"/>
            </c:ext>
          </c:extLst>
        </c:ser>
        <c:ser>
          <c:idx val="11"/>
          <c:order val="11"/>
          <c:tx>
            <c:strRef>
              <c:f>Pivots!$N$159:$N$162</c:f>
              <c:strCache>
                <c:ptCount val="1"/>
                <c:pt idx="0">
                  <c:v>Hydrogen - Generators - Sustainable</c:v>
                </c:pt>
              </c:strCache>
            </c:strRef>
          </c:tx>
          <c:spPr>
            <a:solidFill>
              <a:schemeClr val="accent6">
                <a:lumMod val="60000"/>
              </a:schemeClr>
            </a:solidFill>
            <a:ln>
              <a:noFill/>
            </a:ln>
            <a:effectLst/>
          </c:spPr>
          <c:invertIfNegative val="0"/>
          <c:cat>
            <c:multiLvlStrRef>
              <c:f>Pivots!$B$163:$B$168</c:f>
              <c:multiLvlStrCache>
                <c:ptCount val="4"/>
                <c:lvl>
                  <c:pt idx="0">
                    <c:v>kg</c:v>
                  </c:pt>
                  <c:pt idx="1">
                    <c:v>kWh</c:v>
                  </c:pt>
                  <c:pt idx="2">
                    <c:v>litres</c:v>
                  </c:pt>
                  <c:pt idx="3">
                    <c:v>Nm3</c:v>
                  </c:pt>
                </c:lvl>
                <c:lvl>
                  <c:pt idx="0">
                    <c:v>Energy</c:v>
                  </c:pt>
                </c:lvl>
              </c:multiLvlStrCache>
            </c:multiLvlStrRef>
          </c:cat>
          <c:val>
            <c:numRef>
              <c:f>Pivots!$N$163:$N$168</c:f>
              <c:numCache>
                <c:formatCode>_ * #,##0_ ;_ * \-#,##0_ ;_ * "-"??_ ;_ @_ </c:formatCode>
                <c:ptCount val="4"/>
                <c:pt idx="0">
                  <c:v>0</c:v>
                </c:pt>
              </c:numCache>
            </c:numRef>
          </c:val>
          <c:extLst>
            <c:ext xmlns:c16="http://schemas.microsoft.com/office/drawing/2014/chart" uri="{C3380CC4-5D6E-409C-BE32-E72D297353CC}">
              <c16:uniqueId val="{00000087-0E47-4C87-A803-B67F4FE49E2B}"/>
            </c:ext>
          </c:extLst>
        </c:ser>
        <c:dLbls>
          <c:showLegendKey val="0"/>
          <c:showVal val="0"/>
          <c:showCatName val="0"/>
          <c:showSerName val="0"/>
          <c:showPercent val="0"/>
          <c:showBubbleSize val="0"/>
        </c:dLbls>
        <c:gapWidth val="219"/>
        <c:overlap val="100"/>
        <c:axId val="442684272"/>
        <c:axId val="442689072"/>
      </c:barChart>
      <c:catAx>
        <c:axId val="442684272"/>
        <c:scaling>
          <c:orientation val="minMax"/>
        </c:scaling>
        <c:delete val="0"/>
        <c:axPos val="l"/>
        <c:numFmt formatCode="General" sourceLinked="1"/>
        <c:majorTickMark val="none"/>
        <c:minorTickMark val="none"/>
        <c:tickLblPos val="nextTo"/>
        <c:spPr>
          <a:noFill/>
          <a:ln w="12700" cap="flat" cmpd="sng" algn="ctr">
            <a:solidFill>
              <a:schemeClr val="tx2">
                <a:lumMod val="50000"/>
                <a:lumOff val="50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NL"/>
          </a:p>
        </c:txPr>
        <c:crossAx val="442689072"/>
        <c:crosses val="autoZero"/>
        <c:auto val="1"/>
        <c:lblAlgn val="ctr"/>
        <c:lblOffset val="100"/>
        <c:noMultiLvlLbl val="0"/>
      </c:catAx>
      <c:valAx>
        <c:axId val="442689072"/>
        <c:scaling>
          <c:orientation val="minMax"/>
        </c:scaling>
        <c:delete val="0"/>
        <c:axPos val="b"/>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NL"/>
          </a:p>
        </c:txPr>
        <c:crossAx val="4426842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400" b="0" i="0" u="none" strike="noStrike" kern="1200" baseline="0">
                <a:solidFill>
                  <a:schemeClr val="tx1">
                    <a:lumMod val="65000"/>
                    <a:lumOff val="35000"/>
                  </a:schemeClr>
                </a:solidFill>
                <a:latin typeface="+mn-lt"/>
                <a:ea typeface="+mn-ea"/>
                <a:cs typeface="+mn-cs"/>
              </a:defRPr>
            </a:pPr>
            <a:endParaRPr lang="nl-NL"/>
          </a:p>
        </c:txPr>
      </c:dTable>
      <c:spPr>
        <a:noFill/>
        <a:ln>
          <a:noFill/>
        </a:ln>
        <a:effectLst/>
      </c:spPr>
    </c:plotArea>
    <c:legend>
      <c:legendPos val="r"/>
      <c:layout>
        <c:manualLayout>
          <c:xMode val="edge"/>
          <c:yMode val="edge"/>
          <c:x val="0.83375657108721624"/>
          <c:y val="1.2522427983539102E-2"/>
          <c:w val="0.16245011947431301"/>
          <c:h val="0.93860596707818933"/>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sz="1400"/>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CO2-Calculation'!A1"/><Relationship Id="rId3" Type="http://schemas.openxmlformats.org/officeDocument/2006/relationships/hyperlink" Target="#'Input sheet'!A1"/><Relationship Id="rId7" Type="http://schemas.openxmlformats.org/officeDocument/2006/relationships/hyperlink" Target="#'Facilitatory data'!A1"/><Relationship Id="rId2" Type="http://schemas.openxmlformats.org/officeDocument/2006/relationships/hyperlink" Target="#Manual!A1"/><Relationship Id="rId1" Type="http://schemas.openxmlformats.org/officeDocument/2006/relationships/image" Target="../media/image1.png"/><Relationship Id="rId6" Type="http://schemas.openxmlformats.org/officeDocument/2006/relationships/hyperlink" Target="#'Emission factors - list'!A1"/><Relationship Id="rId5" Type="http://schemas.openxmlformats.org/officeDocument/2006/relationships/hyperlink" Target="#'Results - deep dive'!A1"/><Relationship Id="rId4" Type="http://schemas.openxmlformats.org/officeDocument/2006/relationships/hyperlink" Target="#Results!A1"/><Relationship Id="rId9" Type="http://schemas.openxmlformats.org/officeDocument/2006/relationships/hyperlink" Target="#'EF-background info'!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5" Type="http://schemas.openxmlformats.org/officeDocument/2006/relationships/chart" Target="../charts/chart4.xml"/><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2.png"/><Relationship Id="rId5" Type="http://schemas.openxmlformats.org/officeDocument/2006/relationships/chart" Target="../charts/chart8.xml"/><Relationship Id="rId4"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44559</xdr:rowOff>
    </xdr:from>
    <xdr:to>
      <xdr:col>2</xdr:col>
      <xdr:colOff>865910</xdr:colOff>
      <xdr:row>1</xdr:row>
      <xdr:rowOff>373618</xdr:rowOff>
    </xdr:to>
    <xdr:pic>
      <xdr:nvPicPr>
        <xdr:cNvPr id="6" name="Picture 5">
          <a:extLst>
            <a:ext uri="{FF2B5EF4-FFF2-40B4-BE49-F238E27FC236}">
              <a16:creationId xmlns:a16="http://schemas.microsoft.com/office/drawing/2014/main" id="{22201FA5-7796-1AFE-2F18-AF1E55B38B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435" y="44559"/>
          <a:ext cx="1735584" cy="710059"/>
        </a:xfrm>
        <a:prstGeom prst="rect">
          <a:avLst/>
        </a:prstGeom>
      </xdr:spPr>
    </xdr:pic>
    <xdr:clientData/>
  </xdr:twoCellAnchor>
  <xdr:twoCellAnchor>
    <xdr:from>
      <xdr:col>1</xdr:col>
      <xdr:colOff>101875</xdr:colOff>
      <xdr:row>6</xdr:row>
      <xdr:rowOff>28839</xdr:rowOff>
    </xdr:from>
    <xdr:to>
      <xdr:col>3</xdr:col>
      <xdr:colOff>360723</xdr:colOff>
      <xdr:row>6</xdr:row>
      <xdr:rowOff>424839</xdr:rowOff>
    </xdr:to>
    <xdr:sp macro="" textlink="">
      <xdr:nvSpPr>
        <xdr:cNvPr id="7" name="Flowchart: Alternate Process 6">
          <a:hlinkClick xmlns:r="http://schemas.openxmlformats.org/officeDocument/2006/relationships" r:id="rId2"/>
          <a:extLst>
            <a:ext uri="{FF2B5EF4-FFF2-40B4-BE49-F238E27FC236}">
              <a16:creationId xmlns:a16="http://schemas.microsoft.com/office/drawing/2014/main" id="{DF983D1C-7E80-AC15-256C-CD458CCFF422}"/>
            </a:ext>
          </a:extLst>
        </xdr:cNvPr>
        <xdr:cNvSpPr/>
      </xdr:nvSpPr>
      <xdr:spPr>
        <a:xfrm>
          <a:off x="789332" y="1188404"/>
          <a:ext cx="2520000" cy="396000"/>
        </a:xfrm>
        <a:prstGeom prst="flowChartAlternateProcess">
          <a:avLst/>
        </a:prstGeom>
        <a:solidFill>
          <a:srgbClr val="A3C4C9"/>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Manual</a:t>
          </a:r>
        </a:p>
      </xdr:txBody>
    </xdr:sp>
    <xdr:clientData/>
  </xdr:twoCellAnchor>
  <xdr:twoCellAnchor>
    <xdr:from>
      <xdr:col>1</xdr:col>
      <xdr:colOff>110156</xdr:colOff>
      <xdr:row>8</xdr:row>
      <xdr:rowOff>28576</xdr:rowOff>
    </xdr:from>
    <xdr:to>
      <xdr:col>3</xdr:col>
      <xdr:colOff>369004</xdr:colOff>
      <xdr:row>8</xdr:row>
      <xdr:rowOff>424576</xdr:rowOff>
    </xdr:to>
    <xdr:sp macro="" textlink="">
      <xdr:nvSpPr>
        <xdr:cNvPr id="9" name="Flowchart: Alternate Process 8">
          <a:hlinkClick xmlns:r="http://schemas.openxmlformats.org/officeDocument/2006/relationships" r:id="rId3"/>
          <a:extLst>
            <a:ext uri="{FF2B5EF4-FFF2-40B4-BE49-F238E27FC236}">
              <a16:creationId xmlns:a16="http://schemas.microsoft.com/office/drawing/2014/main" id="{8C9C806E-EA8D-4174-A7BF-D775429E518B}"/>
            </a:ext>
          </a:extLst>
        </xdr:cNvPr>
        <xdr:cNvSpPr/>
      </xdr:nvSpPr>
      <xdr:spPr>
        <a:xfrm>
          <a:off x="797613" y="1825902"/>
          <a:ext cx="2520000" cy="396000"/>
        </a:xfrm>
        <a:prstGeom prst="flowChartAlternateProcess">
          <a:avLst/>
        </a:prstGeom>
        <a:solidFill>
          <a:srgbClr val="A3C4C9"/>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Input sheet</a:t>
          </a:r>
        </a:p>
      </xdr:txBody>
    </xdr:sp>
    <xdr:clientData/>
  </xdr:twoCellAnchor>
  <xdr:twoCellAnchor>
    <xdr:from>
      <xdr:col>1</xdr:col>
      <xdr:colOff>103116</xdr:colOff>
      <xdr:row>10</xdr:row>
      <xdr:rowOff>24849</xdr:rowOff>
    </xdr:from>
    <xdr:to>
      <xdr:col>3</xdr:col>
      <xdr:colOff>361964</xdr:colOff>
      <xdr:row>10</xdr:row>
      <xdr:rowOff>420849</xdr:rowOff>
    </xdr:to>
    <xdr:sp macro="" textlink="">
      <xdr:nvSpPr>
        <xdr:cNvPr id="10" name="Flowchart: Alternate Process 9">
          <a:hlinkClick xmlns:r="http://schemas.openxmlformats.org/officeDocument/2006/relationships" r:id="rId4"/>
          <a:extLst>
            <a:ext uri="{FF2B5EF4-FFF2-40B4-BE49-F238E27FC236}">
              <a16:creationId xmlns:a16="http://schemas.microsoft.com/office/drawing/2014/main" id="{B77C6AD3-6C97-4F26-B2B4-E2D5E7BF4BAC}"/>
            </a:ext>
          </a:extLst>
        </xdr:cNvPr>
        <xdr:cNvSpPr/>
      </xdr:nvSpPr>
      <xdr:spPr>
        <a:xfrm>
          <a:off x="790573" y="2501349"/>
          <a:ext cx="2520000" cy="396000"/>
        </a:xfrm>
        <a:prstGeom prst="flowChartAlternateProcess">
          <a:avLst/>
        </a:prstGeom>
        <a:solidFill>
          <a:srgbClr val="A8D08D"/>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Results</a:t>
          </a:r>
        </a:p>
      </xdr:txBody>
    </xdr:sp>
    <xdr:clientData/>
  </xdr:twoCellAnchor>
  <xdr:twoCellAnchor>
    <xdr:from>
      <xdr:col>1</xdr:col>
      <xdr:colOff>119680</xdr:colOff>
      <xdr:row>12</xdr:row>
      <xdr:rowOff>23607</xdr:rowOff>
    </xdr:from>
    <xdr:to>
      <xdr:col>3</xdr:col>
      <xdr:colOff>378528</xdr:colOff>
      <xdr:row>12</xdr:row>
      <xdr:rowOff>419607</xdr:rowOff>
    </xdr:to>
    <xdr:sp macro="" textlink="">
      <xdr:nvSpPr>
        <xdr:cNvPr id="11" name="Flowchart: Alternate Process 10">
          <a:hlinkClick xmlns:r="http://schemas.openxmlformats.org/officeDocument/2006/relationships" r:id="rId5"/>
          <a:extLst>
            <a:ext uri="{FF2B5EF4-FFF2-40B4-BE49-F238E27FC236}">
              <a16:creationId xmlns:a16="http://schemas.microsoft.com/office/drawing/2014/main" id="{EE7E3A74-09A8-4697-B2C5-99B044F407F7}"/>
            </a:ext>
          </a:extLst>
        </xdr:cNvPr>
        <xdr:cNvSpPr/>
      </xdr:nvSpPr>
      <xdr:spPr>
        <a:xfrm>
          <a:off x="807137" y="3179281"/>
          <a:ext cx="2520000" cy="396000"/>
        </a:xfrm>
        <a:prstGeom prst="flowChartAlternateProcess">
          <a:avLst/>
        </a:prstGeom>
        <a:solidFill>
          <a:srgbClr val="A8D08D"/>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Results</a:t>
          </a:r>
          <a:r>
            <a:rPr lang="nl-NL" sz="1800" b="1" baseline="0"/>
            <a:t> - deep dive</a:t>
          </a:r>
          <a:endParaRPr lang="nl-NL" sz="1800" b="1"/>
        </a:p>
      </xdr:txBody>
    </xdr:sp>
    <xdr:clientData/>
  </xdr:twoCellAnchor>
  <xdr:twoCellAnchor>
    <xdr:from>
      <xdr:col>1</xdr:col>
      <xdr:colOff>127963</xdr:colOff>
      <xdr:row>14</xdr:row>
      <xdr:rowOff>24851</xdr:rowOff>
    </xdr:from>
    <xdr:to>
      <xdr:col>3</xdr:col>
      <xdr:colOff>386811</xdr:colOff>
      <xdr:row>14</xdr:row>
      <xdr:rowOff>420851</xdr:rowOff>
    </xdr:to>
    <xdr:sp macro="" textlink="">
      <xdr:nvSpPr>
        <xdr:cNvPr id="12" name="Flowchart: Alternate Process 11">
          <a:hlinkClick xmlns:r="http://schemas.openxmlformats.org/officeDocument/2006/relationships" r:id="rId6"/>
          <a:extLst>
            <a:ext uri="{FF2B5EF4-FFF2-40B4-BE49-F238E27FC236}">
              <a16:creationId xmlns:a16="http://schemas.microsoft.com/office/drawing/2014/main" id="{D1FB5AB8-B68B-44A4-BF04-FD2DA8E42B9D}"/>
            </a:ext>
          </a:extLst>
        </xdr:cNvPr>
        <xdr:cNvSpPr/>
      </xdr:nvSpPr>
      <xdr:spPr>
        <a:xfrm>
          <a:off x="815420" y="3859699"/>
          <a:ext cx="2520000" cy="396000"/>
        </a:xfrm>
        <a:prstGeom prst="flowChartAlternateProcess">
          <a:avLst/>
        </a:prstGeom>
        <a:solidFill>
          <a:srgbClr val="4F6D7A"/>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Emission factor - list</a:t>
          </a:r>
        </a:p>
      </xdr:txBody>
    </xdr:sp>
    <xdr:clientData/>
  </xdr:twoCellAnchor>
  <xdr:twoCellAnchor>
    <xdr:from>
      <xdr:col>1</xdr:col>
      <xdr:colOff>127963</xdr:colOff>
      <xdr:row>19</xdr:row>
      <xdr:rowOff>24851</xdr:rowOff>
    </xdr:from>
    <xdr:to>
      <xdr:col>3</xdr:col>
      <xdr:colOff>386811</xdr:colOff>
      <xdr:row>19</xdr:row>
      <xdr:rowOff>420851</xdr:rowOff>
    </xdr:to>
    <xdr:sp macro="" textlink="">
      <xdr:nvSpPr>
        <xdr:cNvPr id="2" name="Flowchart: Alternate Process 1">
          <a:hlinkClick xmlns:r="http://schemas.openxmlformats.org/officeDocument/2006/relationships" r:id="rId7"/>
          <a:extLst>
            <a:ext uri="{FF2B5EF4-FFF2-40B4-BE49-F238E27FC236}">
              <a16:creationId xmlns:a16="http://schemas.microsoft.com/office/drawing/2014/main" id="{776FA591-BBF1-4C46-9CAD-DCCBF5B59993}"/>
            </a:ext>
          </a:extLst>
        </xdr:cNvPr>
        <xdr:cNvSpPr/>
      </xdr:nvSpPr>
      <xdr:spPr>
        <a:xfrm>
          <a:off x="816694" y="3864159"/>
          <a:ext cx="2515540" cy="396000"/>
        </a:xfrm>
        <a:prstGeom prst="flowChartAlternateProcess">
          <a:avLst/>
        </a:prstGeom>
        <a:solidFill>
          <a:schemeClr val="bg1">
            <a:lumMod val="75000"/>
          </a:schemeClr>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Facilitatory data</a:t>
          </a:r>
        </a:p>
      </xdr:txBody>
    </xdr:sp>
    <xdr:clientData/>
  </xdr:twoCellAnchor>
  <xdr:twoCellAnchor>
    <xdr:from>
      <xdr:col>1</xdr:col>
      <xdr:colOff>127963</xdr:colOff>
      <xdr:row>17</xdr:row>
      <xdr:rowOff>24851</xdr:rowOff>
    </xdr:from>
    <xdr:to>
      <xdr:col>3</xdr:col>
      <xdr:colOff>386811</xdr:colOff>
      <xdr:row>17</xdr:row>
      <xdr:rowOff>420851</xdr:rowOff>
    </xdr:to>
    <xdr:sp macro="" textlink="">
      <xdr:nvSpPr>
        <xdr:cNvPr id="3" name="Flowchart: Alternate Process 2">
          <a:hlinkClick xmlns:r="http://schemas.openxmlformats.org/officeDocument/2006/relationships" r:id="rId8"/>
          <a:extLst>
            <a:ext uri="{FF2B5EF4-FFF2-40B4-BE49-F238E27FC236}">
              <a16:creationId xmlns:a16="http://schemas.microsoft.com/office/drawing/2014/main" id="{10ABFA5B-582F-42B9-AF08-F2E8DD3353F1}"/>
            </a:ext>
          </a:extLst>
        </xdr:cNvPr>
        <xdr:cNvSpPr/>
      </xdr:nvSpPr>
      <xdr:spPr>
        <a:xfrm>
          <a:off x="816694" y="4545563"/>
          <a:ext cx="2515540" cy="396000"/>
        </a:xfrm>
        <a:prstGeom prst="flowChartAlternateProcess">
          <a:avLst/>
        </a:prstGeom>
        <a:solidFill>
          <a:schemeClr val="bg1">
            <a:lumMod val="75000"/>
          </a:schemeClr>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CO2-calculation</a:t>
          </a:r>
        </a:p>
      </xdr:txBody>
    </xdr:sp>
    <xdr:clientData/>
  </xdr:twoCellAnchor>
  <xdr:twoCellAnchor>
    <xdr:from>
      <xdr:col>1</xdr:col>
      <xdr:colOff>127963</xdr:colOff>
      <xdr:row>21</xdr:row>
      <xdr:rowOff>24851</xdr:rowOff>
    </xdr:from>
    <xdr:to>
      <xdr:col>3</xdr:col>
      <xdr:colOff>386811</xdr:colOff>
      <xdr:row>21</xdr:row>
      <xdr:rowOff>420851</xdr:rowOff>
    </xdr:to>
    <xdr:sp macro="" textlink="">
      <xdr:nvSpPr>
        <xdr:cNvPr id="4" name="Flowchart: Alternate Process 3">
          <a:hlinkClick xmlns:r="http://schemas.openxmlformats.org/officeDocument/2006/relationships" r:id="rId9"/>
          <a:extLst>
            <a:ext uri="{FF2B5EF4-FFF2-40B4-BE49-F238E27FC236}">
              <a16:creationId xmlns:a16="http://schemas.microsoft.com/office/drawing/2014/main" id="{C0195538-8DF9-480B-94C6-21E42BD73AA4}"/>
            </a:ext>
          </a:extLst>
        </xdr:cNvPr>
        <xdr:cNvSpPr/>
      </xdr:nvSpPr>
      <xdr:spPr>
        <a:xfrm>
          <a:off x="816694" y="5226966"/>
          <a:ext cx="2515540" cy="396000"/>
        </a:xfrm>
        <a:prstGeom prst="flowChartAlternateProcess">
          <a:avLst/>
        </a:prstGeom>
        <a:solidFill>
          <a:schemeClr val="bg1">
            <a:lumMod val="75000"/>
          </a:schemeClr>
        </a:solidFill>
        <a:ln>
          <a:solidFill>
            <a:schemeClr val="tx1"/>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EF-background info</a:t>
          </a:r>
        </a:p>
      </xdr:txBody>
    </xdr:sp>
    <xdr:clientData/>
  </xdr:twoCellAnchor>
  <xdr:twoCellAnchor>
    <xdr:from>
      <xdr:col>1</xdr:col>
      <xdr:colOff>131884</xdr:colOff>
      <xdr:row>15</xdr:row>
      <xdr:rowOff>234462</xdr:rowOff>
    </xdr:from>
    <xdr:to>
      <xdr:col>5</xdr:col>
      <xdr:colOff>14653</xdr:colOff>
      <xdr:row>15</xdr:row>
      <xdr:rowOff>234462</xdr:rowOff>
    </xdr:to>
    <xdr:cxnSp macro="">
      <xdr:nvCxnSpPr>
        <xdr:cNvPr id="8" name="Straight Connector 7">
          <a:extLst>
            <a:ext uri="{FF2B5EF4-FFF2-40B4-BE49-F238E27FC236}">
              <a16:creationId xmlns:a16="http://schemas.microsoft.com/office/drawing/2014/main" id="{EDC7A231-2734-7CFD-8E7B-18C9CF1B90CF}"/>
            </a:ext>
          </a:extLst>
        </xdr:cNvPr>
        <xdr:cNvCxnSpPr/>
      </xdr:nvCxnSpPr>
      <xdr:spPr>
        <a:xfrm>
          <a:off x="820615" y="4513385"/>
          <a:ext cx="9715500" cy="0"/>
        </a:xfrm>
        <a:prstGeom prst="line">
          <a:avLst/>
        </a:prstGeom>
        <a:ln w="12700">
          <a:solidFill>
            <a:srgbClr val="A8D08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xdr:colOff>
      <xdr:row>5</xdr:row>
      <xdr:rowOff>0</xdr:rowOff>
    </xdr:from>
    <xdr:to>
      <xdr:col>4</xdr:col>
      <xdr:colOff>6864594</xdr:colOff>
      <xdr:row>5</xdr:row>
      <xdr:rowOff>0</xdr:rowOff>
    </xdr:to>
    <xdr:cxnSp macro="">
      <xdr:nvCxnSpPr>
        <xdr:cNvPr id="13" name="Straight Connector 12">
          <a:extLst>
            <a:ext uri="{FF2B5EF4-FFF2-40B4-BE49-F238E27FC236}">
              <a16:creationId xmlns:a16="http://schemas.microsoft.com/office/drawing/2014/main" id="{193745BA-8056-4D75-BD73-2E5568A47878}"/>
            </a:ext>
          </a:extLst>
        </xdr:cNvPr>
        <xdr:cNvCxnSpPr/>
      </xdr:nvCxnSpPr>
      <xdr:spPr>
        <a:xfrm>
          <a:off x="781050" y="962025"/>
          <a:ext cx="9712569" cy="0"/>
        </a:xfrm>
        <a:prstGeom prst="line">
          <a:avLst/>
        </a:prstGeom>
        <a:ln w="12700">
          <a:solidFill>
            <a:srgbClr val="A8D08D"/>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2906</xdr:colOff>
      <xdr:row>0</xdr:row>
      <xdr:rowOff>1</xdr:rowOff>
    </xdr:from>
    <xdr:to>
      <xdr:col>2</xdr:col>
      <xdr:colOff>1316181</xdr:colOff>
      <xdr:row>2</xdr:row>
      <xdr:rowOff>110752</xdr:rowOff>
    </xdr:to>
    <xdr:pic>
      <xdr:nvPicPr>
        <xdr:cNvPr id="2" name="Picture 1">
          <a:extLst>
            <a:ext uri="{FF2B5EF4-FFF2-40B4-BE49-F238E27FC236}">
              <a16:creationId xmlns:a16="http://schemas.microsoft.com/office/drawing/2014/main" id="{D8E58404-6887-4492-B212-606E700F63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291" y="1"/>
          <a:ext cx="1958044" cy="814136"/>
        </a:xfrm>
        <a:prstGeom prst="rect">
          <a:avLst/>
        </a:prstGeom>
      </xdr:spPr>
    </xdr:pic>
    <xdr:clientData/>
  </xdr:twoCellAnchor>
  <xdr:twoCellAnchor>
    <xdr:from>
      <xdr:col>3</xdr:col>
      <xdr:colOff>-1</xdr:colOff>
      <xdr:row>6</xdr:row>
      <xdr:rowOff>264964</xdr:rowOff>
    </xdr:from>
    <xdr:to>
      <xdr:col>18</xdr:col>
      <xdr:colOff>481090</xdr:colOff>
      <xdr:row>29</xdr:row>
      <xdr:rowOff>70101</xdr:rowOff>
    </xdr:to>
    <xdr:graphicFrame macro="">
      <xdr:nvGraphicFramePr>
        <xdr:cNvPr id="3" name="Chart 2">
          <a:extLst>
            <a:ext uri="{FF2B5EF4-FFF2-40B4-BE49-F238E27FC236}">
              <a16:creationId xmlns:a16="http://schemas.microsoft.com/office/drawing/2014/main" id="{5FF120E4-6274-C22B-2C4B-FB714A3389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250249</xdr:colOff>
      <xdr:row>27</xdr:row>
      <xdr:rowOff>242443</xdr:rowOff>
    </xdr:from>
    <xdr:to>
      <xdr:col>12</xdr:col>
      <xdr:colOff>121229</xdr:colOff>
      <xdr:row>29</xdr:row>
      <xdr:rowOff>16353</xdr:rowOff>
    </xdr:to>
    <xdr:sp macro="" textlink="Pivots!B9">
      <xdr:nvSpPr>
        <xdr:cNvPr id="6" name="TextBox 5">
          <a:extLst>
            <a:ext uri="{FF2B5EF4-FFF2-40B4-BE49-F238E27FC236}">
              <a16:creationId xmlns:a16="http://schemas.microsoft.com/office/drawing/2014/main" id="{04F92D66-7871-3D00-8FF9-6F317746C6C0}"/>
            </a:ext>
          </a:extLst>
        </xdr:cNvPr>
        <xdr:cNvSpPr txBox="1"/>
      </xdr:nvSpPr>
      <xdr:spPr>
        <a:xfrm>
          <a:off x="6276976" y="8884216"/>
          <a:ext cx="4720071" cy="43200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0883BFD7-DB28-4F13-AD32-2572F2F0C526}" type="TxLink">
            <a:rPr lang="en-US" sz="2000" b="1" i="0" u="none" strike="noStrike">
              <a:solidFill>
                <a:sysClr val="windowText" lastClr="000000"/>
              </a:solidFill>
              <a:latin typeface="Calibri"/>
              <a:ea typeface="Calibri"/>
              <a:cs typeface="Calibri"/>
            </a:rPr>
            <a:pPr algn="ctr"/>
            <a:t>Gross CO2-emissions: 0 ton CO2-eq</a:t>
          </a:fld>
          <a:endParaRPr lang="nl-NL" sz="1800" b="1">
            <a:solidFill>
              <a:sysClr val="windowText" lastClr="000000"/>
            </a:solidFill>
          </a:endParaRPr>
        </a:p>
      </xdr:txBody>
    </xdr:sp>
    <xdr:clientData/>
  </xdr:twoCellAnchor>
  <xdr:twoCellAnchor>
    <xdr:from>
      <xdr:col>19</xdr:col>
      <xdr:colOff>675412</xdr:colOff>
      <xdr:row>6</xdr:row>
      <xdr:rowOff>277089</xdr:rowOff>
    </xdr:from>
    <xdr:to>
      <xdr:col>33</xdr:col>
      <xdr:colOff>450274</xdr:colOff>
      <xdr:row>22</xdr:row>
      <xdr:rowOff>266998</xdr:rowOff>
    </xdr:to>
    <xdr:graphicFrame macro="">
      <xdr:nvGraphicFramePr>
        <xdr:cNvPr id="8" name="Chart 7">
          <a:extLst>
            <a:ext uri="{FF2B5EF4-FFF2-40B4-BE49-F238E27FC236}">
              <a16:creationId xmlns:a16="http://schemas.microsoft.com/office/drawing/2014/main" id="{D7FBC5F3-FE53-477A-A155-03A01371B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675409</xdr:colOff>
      <xdr:row>23</xdr:row>
      <xdr:rowOff>235227</xdr:rowOff>
    </xdr:from>
    <xdr:to>
      <xdr:col>33</xdr:col>
      <xdr:colOff>450274</xdr:colOff>
      <xdr:row>40</xdr:row>
      <xdr:rowOff>121227</xdr:rowOff>
    </xdr:to>
    <xdr:graphicFrame macro="">
      <xdr:nvGraphicFramePr>
        <xdr:cNvPr id="9" name="Chart 8">
          <a:extLst>
            <a:ext uri="{FF2B5EF4-FFF2-40B4-BE49-F238E27FC236}">
              <a16:creationId xmlns:a16="http://schemas.microsoft.com/office/drawing/2014/main" id="{6FD3B337-08C2-4FD5-910B-4588E0D32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588815</xdr:colOff>
      <xdr:row>0</xdr:row>
      <xdr:rowOff>121228</xdr:rowOff>
    </xdr:from>
    <xdr:to>
      <xdr:col>19</xdr:col>
      <xdr:colOff>146335</xdr:colOff>
      <xdr:row>3</xdr:row>
      <xdr:rowOff>251114</xdr:rowOff>
    </xdr:to>
    <xdr:sp macro="" textlink="">
      <xdr:nvSpPr>
        <xdr:cNvPr id="4" name="Rectangle: Rounded Corners 3">
          <a:extLst>
            <a:ext uri="{FF2B5EF4-FFF2-40B4-BE49-F238E27FC236}">
              <a16:creationId xmlns:a16="http://schemas.microsoft.com/office/drawing/2014/main" id="{C5B007FC-11D4-4500-BD42-83369D1638A3}"/>
            </a:ext>
          </a:extLst>
        </xdr:cNvPr>
        <xdr:cNvSpPr/>
      </xdr:nvSpPr>
      <xdr:spPr>
        <a:xfrm>
          <a:off x="11464633" y="121228"/>
          <a:ext cx="4406611" cy="1082386"/>
        </a:xfrm>
        <a:prstGeom prst="round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nl-NL" sz="2400" b="1">
              <a:solidFill>
                <a:sysClr val="windowText" lastClr="000000"/>
              </a:solidFill>
            </a:rPr>
            <a:t>To refresh charts:</a:t>
          </a:r>
        </a:p>
        <a:p>
          <a:pPr algn="l"/>
          <a:r>
            <a:rPr lang="nl-NL" sz="1600" b="1">
              <a:solidFill>
                <a:sysClr val="windowText" lastClr="000000"/>
              </a:solidFill>
            </a:rPr>
            <a:t>Navigate</a:t>
          </a:r>
          <a:r>
            <a:rPr lang="nl-NL" sz="1600" b="1" baseline="0">
              <a:solidFill>
                <a:sysClr val="windowText" lastClr="000000"/>
              </a:solidFill>
            </a:rPr>
            <a:t> to 'Data' menu; Press 'Refresh all' multiple times</a:t>
          </a:r>
          <a:endParaRPr lang="nl-NL" sz="900" b="1">
            <a:solidFill>
              <a:sysClr val="windowText" lastClr="000000"/>
            </a:solidFill>
          </a:endParaRPr>
        </a:p>
      </xdr:txBody>
    </xdr:sp>
    <xdr:clientData/>
  </xdr:twoCellAnchor>
  <xdr:twoCellAnchor>
    <xdr:from>
      <xdr:col>3</xdr:col>
      <xdr:colOff>0</xdr:colOff>
      <xdr:row>30</xdr:row>
      <xdr:rowOff>69271</xdr:rowOff>
    </xdr:from>
    <xdr:to>
      <xdr:col>18</xdr:col>
      <xdr:colOff>484909</xdr:colOff>
      <xdr:row>40</xdr:row>
      <xdr:rowOff>68044</xdr:rowOff>
    </xdr:to>
    <xdr:graphicFrame macro="">
      <xdr:nvGraphicFramePr>
        <xdr:cNvPr id="5" name="Chart 4">
          <a:extLst>
            <a:ext uri="{FF2B5EF4-FFF2-40B4-BE49-F238E27FC236}">
              <a16:creationId xmlns:a16="http://schemas.microsoft.com/office/drawing/2014/main" id="{E5ED837D-B148-4E2C-88B5-A9A8D811B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0.52117</cdr:x>
      <cdr:y>0.89655</cdr:y>
    </cdr:from>
    <cdr:to>
      <cdr:x>1</cdr:x>
      <cdr:y>1</cdr:y>
    </cdr:to>
    <cdr:sp macro="" textlink="Pivots!$B$73">
      <cdr:nvSpPr>
        <cdr:cNvPr id="2" name="TextBox 5">
          <a:extLst xmlns:a="http://schemas.openxmlformats.org/drawingml/2006/main">
            <a:ext uri="{FF2B5EF4-FFF2-40B4-BE49-F238E27FC236}">
              <a16:creationId xmlns:a16="http://schemas.microsoft.com/office/drawing/2014/main" id="{04F92D66-7871-3D00-8FF9-6F317746C6C0}"/>
            </a:ext>
          </a:extLst>
        </cdr:cNvPr>
        <cdr:cNvSpPr txBox="1"/>
      </cdr:nvSpPr>
      <cdr:spPr>
        <a:xfrm xmlns:a="http://schemas.openxmlformats.org/drawingml/2006/main">
          <a:off x="4937044" y="4714640"/>
          <a:ext cx="4536000" cy="54000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D624946E-15B1-4A01-AFAF-F4A2926119FC}" type="TxLink">
            <a:rPr lang="en-US" sz="1800" b="1" i="0" u="none" strike="noStrike">
              <a:solidFill>
                <a:srgbClr val="000000"/>
              </a:solidFill>
              <a:latin typeface="Calibri"/>
              <a:ea typeface="Calibri"/>
              <a:cs typeface="Calibri"/>
            </a:rPr>
            <a:pPr/>
            <a:t> </a:t>
          </a:fld>
          <a:endParaRPr lang="nl-NL" sz="1600" b="1"/>
        </a:p>
      </cdr:txBody>
    </cdr:sp>
  </cdr:relSizeAnchor>
</c:userShapes>
</file>

<file path=xl/drawings/drawing4.xml><?xml version="1.0" encoding="utf-8"?>
<c:userShapes xmlns:c="http://schemas.openxmlformats.org/drawingml/2006/chart">
  <cdr:relSizeAnchor xmlns:cdr="http://schemas.openxmlformats.org/drawingml/2006/chartDrawing">
    <cdr:from>
      <cdr:x>0.52117</cdr:x>
      <cdr:y>0.89655</cdr:y>
    </cdr:from>
    <cdr:to>
      <cdr:x>1</cdr:x>
      <cdr:y>1</cdr:y>
    </cdr:to>
    <cdr:sp macro="" textlink="Pivots!$B$96">
      <cdr:nvSpPr>
        <cdr:cNvPr id="2" name="TextBox 5">
          <a:extLst xmlns:a="http://schemas.openxmlformats.org/drawingml/2006/main">
            <a:ext uri="{FF2B5EF4-FFF2-40B4-BE49-F238E27FC236}">
              <a16:creationId xmlns:a16="http://schemas.microsoft.com/office/drawing/2014/main" id="{82941FBE-5B75-999A-FC9D-DAB787CFC62B}"/>
            </a:ext>
          </a:extLst>
        </cdr:cNvPr>
        <cdr:cNvSpPr txBox="1"/>
      </cdr:nvSpPr>
      <cdr:spPr>
        <a:xfrm xmlns:a="http://schemas.openxmlformats.org/drawingml/2006/main">
          <a:off x="4937047" y="4680000"/>
          <a:ext cx="4536000" cy="54000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indent="0" algn="l"/>
          <a:fld id="{E575652C-7B2E-4DA2-BD82-9865C347F352}" type="TxLink">
            <a:rPr lang="en-US" sz="1800" b="1" i="0" u="none" strike="noStrike">
              <a:solidFill>
                <a:srgbClr val="000000"/>
              </a:solidFill>
              <a:latin typeface="Calibri"/>
              <a:ea typeface="Calibri"/>
              <a:cs typeface="Calibri"/>
            </a:rPr>
            <a:pPr marL="0" indent="0" algn="l"/>
            <a:t> </a:t>
          </a:fld>
          <a:endParaRPr lang="nl-NL" sz="1800" b="1" i="0" u="none" strike="noStrike">
            <a:solidFill>
              <a:srgbClr val="000000"/>
            </a:solidFill>
            <a:latin typeface="Calibri"/>
            <a:ea typeface="Calibri"/>
            <a:cs typeface="Calibri"/>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198291</xdr:colOff>
      <xdr:row>0</xdr:row>
      <xdr:rowOff>1</xdr:rowOff>
    </xdr:from>
    <xdr:to>
      <xdr:col>2</xdr:col>
      <xdr:colOff>1314449</xdr:colOff>
      <xdr:row>2</xdr:row>
      <xdr:rowOff>110752</xdr:rowOff>
    </xdr:to>
    <xdr:pic>
      <xdr:nvPicPr>
        <xdr:cNvPr id="2" name="Picture 1">
          <a:extLst>
            <a:ext uri="{FF2B5EF4-FFF2-40B4-BE49-F238E27FC236}">
              <a16:creationId xmlns:a16="http://schemas.microsoft.com/office/drawing/2014/main" id="{FD5CFC3D-AC6F-4821-81BC-216878096B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291" y="1"/>
          <a:ext cx="1956090" cy="806076"/>
        </a:xfrm>
        <a:prstGeom prst="rect">
          <a:avLst/>
        </a:prstGeom>
      </xdr:spPr>
    </xdr:pic>
    <xdr:clientData/>
  </xdr:twoCellAnchor>
  <xdr:twoCellAnchor>
    <xdr:from>
      <xdr:col>2</xdr:col>
      <xdr:colOff>3792680</xdr:colOff>
      <xdr:row>8</xdr:row>
      <xdr:rowOff>173181</xdr:rowOff>
    </xdr:from>
    <xdr:to>
      <xdr:col>31</xdr:col>
      <xdr:colOff>682110</xdr:colOff>
      <xdr:row>39</xdr:row>
      <xdr:rowOff>91090</xdr:rowOff>
    </xdr:to>
    <xdr:graphicFrame macro="">
      <xdr:nvGraphicFramePr>
        <xdr:cNvPr id="14" name="pivottable7">
          <a:extLst>
            <a:ext uri="{FF2B5EF4-FFF2-40B4-BE49-F238E27FC236}">
              <a16:creationId xmlns:a16="http://schemas.microsoft.com/office/drawing/2014/main" id="{61835377-47B3-4D1A-B62C-04BB544841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36</xdr:col>
      <xdr:colOff>152399</xdr:colOff>
      <xdr:row>8</xdr:row>
      <xdr:rowOff>314326</xdr:rowOff>
    </xdr:from>
    <xdr:to>
      <xdr:col>42</xdr:col>
      <xdr:colOff>1</xdr:colOff>
      <xdr:row>28</xdr:row>
      <xdr:rowOff>282690</xdr:rowOff>
    </xdr:to>
    <mc:AlternateContent xmlns:mc="http://schemas.openxmlformats.org/markup-compatibility/2006" xmlns:a14="http://schemas.microsoft.com/office/drawing/2010/main">
      <mc:Choice Requires="a14">
        <xdr:graphicFrame macro="">
          <xdr:nvGraphicFramePr>
            <xdr:cNvPr id="16" name="Sub-category">
              <a:extLst>
                <a:ext uri="{FF2B5EF4-FFF2-40B4-BE49-F238E27FC236}">
                  <a16:creationId xmlns:a16="http://schemas.microsoft.com/office/drawing/2014/main" id="{8CE1C462-E545-BC69-5892-37073C13A893}"/>
                </a:ext>
              </a:extLst>
            </xdr:cNvPr>
            <xdr:cNvGraphicFramePr/>
          </xdr:nvGraphicFramePr>
          <xdr:xfrm>
            <a:off x="0" y="0"/>
            <a:ext cx="0" cy="0"/>
          </xdr:xfrm>
          <a:graphic>
            <a:graphicData uri="http://schemas.microsoft.com/office/drawing/2010/slicer">
              <sle:slicer xmlns:sle="http://schemas.microsoft.com/office/drawing/2010/slicer" name="Sub-category"/>
            </a:graphicData>
          </a:graphic>
        </xdr:graphicFrame>
      </mc:Choice>
      <mc:Fallback xmlns="">
        <xdr:sp macro="" textlink="">
          <xdr:nvSpPr>
            <xdr:cNvPr id="0" name=""/>
            <xdr:cNvSpPr>
              <a:spLocks noTextEdit="1"/>
            </xdr:cNvSpPr>
          </xdr:nvSpPr>
          <xdr:spPr>
            <a:xfrm>
              <a:off x="27653672" y="2253962"/>
              <a:ext cx="4003965" cy="6480000"/>
            </a:xfrm>
            <a:prstGeom prst="rect">
              <a:avLst/>
            </a:prstGeom>
            <a:solidFill>
              <a:prstClr val="white"/>
            </a:solidFill>
            <a:ln w="1">
              <a:solidFill>
                <a:prstClr val="green"/>
              </a:solidFill>
            </a:ln>
          </xdr:spPr>
          <xdr:txBody>
            <a:bodyPr vertOverflow="clip" horzOverflow="clip"/>
            <a:lstStyle/>
            <a:p>
              <a:r>
                <a:rPr lang="nl-NL"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17319</xdr:colOff>
      <xdr:row>75</xdr:row>
      <xdr:rowOff>121228</xdr:rowOff>
    </xdr:from>
    <xdr:to>
      <xdr:col>32</xdr:col>
      <xdr:colOff>16228</xdr:colOff>
      <xdr:row>96</xdr:row>
      <xdr:rowOff>121637</xdr:rowOff>
    </xdr:to>
    <xdr:graphicFrame macro="">
      <xdr:nvGraphicFramePr>
        <xdr:cNvPr id="3" name="Chart 2">
          <a:extLst>
            <a:ext uri="{FF2B5EF4-FFF2-40B4-BE49-F238E27FC236}">
              <a16:creationId xmlns:a16="http://schemas.microsoft.com/office/drawing/2014/main" id="{47463A61-E11C-425C-BFE7-2428F4CF1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34633</xdr:colOff>
      <xdr:row>97</xdr:row>
      <xdr:rowOff>121227</xdr:rowOff>
    </xdr:from>
    <xdr:to>
      <xdr:col>32</xdr:col>
      <xdr:colOff>24017</xdr:colOff>
      <xdr:row>121</xdr:row>
      <xdr:rowOff>86999</xdr:rowOff>
    </xdr:to>
    <xdr:graphicFrame macro="">
      <xdr:nvGraphicFramePr>
        <xdr:cNvPr id="4" name="Chart 3">
          <a:extLst>
            <a:ext uri="{FF2B5EF4-FFF2-40B4-BE49-F238E27FC236}">
              <a16:creationId xmlns:a16="http://schemas.microsoft.com/office/drawing/2014/main" id="{B6E5D883-E4D1-4568-9125-482FE2D1A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3775362</xdr:colOff>
      <xdr:row>41</xdr:row>
      <xdr:rowOff>138543</xdr:rowOff>
    </xdr:from>
    <xdr:to>
      <xdr:col>31</xdr:col>
      <xdr:colOff>674317</xdr:colOff>
      <xdr:row>70</xdr:row>
      <xdr:rowOff>316225</xdr:rowOff>
    </xdr:to>
    <xdr:graphicFrame macro="">
      <xdr:nvGraphicFramePr>
        <xdr:cNvPr id="5" name="Chart 4">
          <a:extLst>
            <a:ext uri="{FF2B5EF4-FFF2-40B4-BE49-F238E27FC236}">
              <a16:creationId xmlns:a16="http://schemas.microsoft.com/office/drawing/2014/main" id="{9FEBF5A7-712C-4245-9B25-EE017643F3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32</xdr:col>
      <xdr:colOff>588819</xdr:colOff>
      <xdr:row>8</xdr:row>
      <xdr:rowOff>296140</xdr:rowOff>
    </xdr:from>
    <xdr:to>
      <xdr:col>36</xdr:col>
      <xdr:colOff>17318</xdr:colOff>
      <xdr:row>29</xdr:row>
      <xdr:rowOff>34636</xdr:rowOff>
    </xdr:to>
    <mc:AlternateContent xmlns:mc="http://schemas.openxmlformats.org/markup-compatibility/2006" xmlns:a14="http://schemas.microsoft.com/office/drawing/2010/main">
      <mc:Choice Requires="a14">
        <xdr:graphicFrame macro="">
          <xdr:nvGraphicFramePr>
            <xdr:cNvPr id="8" name="Category">
              <a:extLst>
                <a:ext uri="{FF2B5EF4-FFF2-40B4-BE49-F238E27FC236}">
                  <a16:creationId xmlns:a16="http://schemas.microsoft.com/office/drawing/2014/main" id="{B509B372-523A-B85A-A382-072C25CBC80B}"/>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25319183" y="2235776"/>
              <a:ext cx="2199408" cy="6544541"/>
            </a:xfrm>
            <a:prstGeom prst="rect">
              <a:avLst/>
            </a:prstGeom>
            <a:solidFill>
              <a:prstClr val="white"/>
            </a:solidFill>
            <a:ln w="1">
              <a:solidFill>
                <a:prstClr val="green"/>
              </a:solidFill>
            </a:ln>
          </xdr:spPr>
          <xdr:txBody>
            <a:bodyPr vertOverflow="clip" horzOverflow="clip"/>
            <a:lstStyle/>
            <a:p>
              <a:r>
                <a:rPr lang="nl-NL"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26</xdr:col>
      <xdr:colOff>536871</xdr:colOff>
      <xdr:row>69</xdr:row>
      <xdr:rowOff>225137</xdr:rowOff>
    </xdr:from>
    <xdr:to>
      <xdr:col>31</xdr:col>
      <xdr:colOff>673235</xdr:colOff>
      <xdr:row>70</xdr:row>
      <xdr:rowOff>311728</xdr:rowOff>
    </xdr:to>
    <xdr:sp macro="" textlink="Pivots!B154">
      <xdr:nvSpPr>
        <xdr:cNvPr id="9" name="TextBox 8">
          <a:extLst>
            <a:ext uri="{FF2B5EF4-FFF2-40B4-BE49-F238E27FC236}">
              <a16:creationId xmlns:a16="http://schemas.microsoft.com/office/drawing/2014/main" id="{E5688D63-548F-460E-CE07-C7C54ED5F387}"/>
            </a:ext>
          </a:extLst>
        </xdr:cNvPr>
        <xdr:cNvSpPr txBox="1"/>
      </xdr:nvSpPr>
      <xdr:spPr>
        <a:xfrm>
          <a:off x="21110871" y="22461682"/>
          <a:ext cx="3600000" cy="4156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B362FDA-C389-485D-A1A4-DCBC0EC65BD2}" type="TxLink">
            <a:rPr lang="en-US" sz="1800" b="1" i="0" u="none" strike="noStrike">
              <a:solidFill>
                <a:srgbClr val="000000"/>
              </a:solidFill>
              <a:latin typeface="Calibri"/>
              <a:ea typeface="Calibri"/>
              <a:cs typeface="Calibri"/>
            </a:rPr>
            <a:pPr/>
            <a:t>Category total: 0 units</a:t>
          </a:fld>
          <a:endParaRPr lang="nl-NL" sz="2400" b="1"/>
        </a:p>
      </xdr:txBody>
    </xdr:sp>
    <xdr:clientData/>
  </xdr:twoCellAnchor>
  <xdr:twoCellAnchor>
    <xdr:from>
      <xdr:col>12</xdr:col>
      <xdr:colOff>588819</xdr:colOff>
      <xdr:row>0</xdr:row>
      <xdr:rowOff>121228</xdr:rowOff>
    </xdr:from>
    <xdr:to>
      <xdr:col>19</xdr:col>
      <xdr:colOff>146339</xdr:colOff>
      <xdr:row>3</xdr:row>
      <xdr:rowOff>251114</xdr:rowOff>
    </xdr:to>
    <xdr:sp macro="" textlink="">
      <xdr:nvSpPr>
        <xdr:cNvPr id="10" name="Rectangle: Rounded Corners 9">
          <a:extLst>
            <a:ext uri="{FF2B5EF4-FFF2-40B4-BE49-F238E27FC236}">
              <a16:creationId xmlns:a16="http://schemas.microsoft.com/office/drawing/2014/main" id="{F60B1CE3-8FBA-4E49-8AE2-F3244DF00162}"/>
            </a:ext>
          </a:extLst>
        </xdr:cNvPr>
        <xdr:cNvSpPr/>
      </xdr:nvSpPr>
      <xdr:spPr>
        <a:xfrm>
          <a:off x="11464637" y="121228"/>
          <a:ext cx="4406611" cy="1082386"/>
        </a:xfrm>
        <a:prstGeom prst="round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nl-NL" sz="2400" b="1">
              <a:solidFill>
                <a:sysClr val="windowText" lastClr="000000"/>
              </a:solidFill>
            </a:rPr>
            <a:t>To refresh charts:</a:t>
          </a:r>
        </a:p>
        <a:p>
          <a:pPr algn="l"/>
          <a:r>
            <a:rPr lang="nl-NL" sz="1600" b="1">
              <a:solidFill>
                <a:sysClr val="windowText" lastClr="000000"/>
              </a:solidFill>
            </a:rPr>
            <a:t>Navigate</a:t>
          </a:r>
          <a:r>
            <a:rPr lang="nl-NL" sz="1600" b="1" baseline="0">
              <a:solidFill>
                <a:sysClr val="windowText" lastClr="000000"/>
              </a:solidFill>
            </a:rPr>
            <a:t> to 'Data' menu; Press 'Refresh all' multiple times</a:t>
          </a:r>
          <a:endParaRPr lang="nl-NL" sz="900" b="1">
            <a:solidFill>
              <a:sysClr val="windowText" lastClr="000000"/>
            </a:solidFill>
          </a:endParaRPr>
        </a:p>
      </xdr:txBody>
    </xdr:sp>
    <xdr:clientData/>
  </xdr:twoCellAnchor>
</xdr:wsDr>
</file>

<file path=xl/drawings/drawing6.xml><?xml version="1.0" encoding="utf-8"?>
<c:userShapes xmlns:c="http://schemas.openxmlformats.org/drawingml/2006/chart">
  <cdr:relSizeAnchor xmlns:cdr="http://schemas.openxmlformats.org/drawingml/2006/chartDrawing">
    <cdr:from>
      <cdr:x>0.82324</cdr:x>
      <cdr:y>0.95687</cdr:y>
    </cdr:from>
    <cdr:to>
      <cdr:x>1</cdr:x>
      <cdr:y>0.99988</cdr:y>
    </cdr:to>
    <cdr:sp macro="" textlink="Pivots!$B$126">
      <cdr:nvSpPr>
        <cdr:cNvPr id="2" name="TextBox 8">
          <a:extLst xmlns:a="http://schemas.openxmlformats.org/drawingml/2006/main">
            <a:ext uri="{FF2B5EF4-FFF2-40B4-BE49-F238E27FC236}">
              <a16:creationId xmlns:a16="http://schemas.microsoft.com/office/drawing/2014/main" id="{E5688D63-548F-460E-CE07-C7C54ED5F387}"/>
            </a:ext>
          </a:extLst>
        </cdr:cNvPr>
        <cdr:cNvSpPr txBox="1"/>
      </cdr:nvSpPr>
      <cdr:spPr>
        <a:xfrm xmlns:a="http://schemas.openxmlformats.org/drawingml/2006/main">
          <a:off x="16766182" y="9246754"/>
          <a:ext cx="3600000" cy="41563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7C40045E-D9AD-4FCE-839E-DB60F314268B}" type="TxLink">
            <a:rPr lang="en-US" sz="1800" b="1" i="0" u="none" strike="noStrike">
              <a:solidFill>
                <a:srgbClr val="000000"/>
              </a:solidFill>
              <a:latin typeface="Calibri"/>
              <a:ea typeface="Calibri"/>
              <a:cs typeface="Calibri"/>
            </a:rPr>
            <a:pPr/>
            <a:t>Category total: 0 kg CO2-eq</a:t>
          </a:fld>
          <a:endParaRPr lang="nl-NL" sz="2400" b="1"/>
        </a:p>
      </cdr:txBody>
    </cdr:sp>
  </cdr:relSizeAnchor>
</c:userShapes>
</file>

<file path=xl/drawings/drawing7.xml><?xml version="1.0" encoding="utf-8"?>
<xdr:wsDr xmlns:xdr="http://schemas.openxmlformats.org/drawingml/2006/spreadsheetDrawing" xmlns:a="http://schemas.openxmlformats.org/drawingml/2006/main">
  <xdr:twoCellAnchor>
    <xdr:from>
      <xdr:col>14</xdr:col>
      <xdr:colOff>19060</xdr:colOff>
      <xdr:row>31</xdr:row>
      <xdr:rowOff>180974</xdr:rowOff>
    </xdr:from>
    <xdr:to>
      <xdr:col>27</xdr:col>
      <xdr:colOff>635804</xdr:colOff>
      <xdr:row>89</xdr:row>
      <xdr:rowOff>61911</xdr:rowOff>
    </xdr:to>
    <xdr:pic>
      <xdr:nvPicPr>
        <xdr:cNvPr id="2" name="Picture 1">
          <a:extLst>
            <a:ext uri="{FF2B5EF4-FFF2-40B4-BE49-F238E27FC236}">
              <a16:creationId xmlns:a16="http://schemas.microsoft.com/office/drawing/2014/main" id="{14DFAA57-79E3-437B-9D43-32889EDFBD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187623" y="5991224"/>
          <a:ext cx="9129712" cy="12061031"/>
        </a:xfrm>
        <a:prstGeom prst="rect">
          <a:avLst/>
        </a:prstGeom>
        <a:noFill/>
        <a:ln>
          <a:noFill/>
          <a:prstDash val="solid"/>
        </a:ln>
      </xdr:spPr>
    </xdr:pic>
    <xdr:clientData/>
  </xdr:twoCellAnchor>
</xdr:wsDr>
</file>

<file path=xl/persons/person.xml><?xml version="1.0" encoding="utf-8"?>
<personList xmlns="http://schemas.microsoft.com/office/spreadsheetml/2018/threadedcomments" xmlns:x="http://schemas.openxmlformats.org/spreadsheetml/2006/main">
  <person displayName="Niek Schemmekes" id="{E8BBF414-3254-47DF-93A5-9146B180A431}" userId="S::niek.schemmekes@haskoning.com::73f0c136-557b-4d64-b53a-86f6cd3a746a"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rs Lensink" refreshedDate="46205.636378935182" createdVersion="8" refreshedVersion="8" minRefreshableVersion="3" recordCount="174" xr:uid="{9E5590D4-DD21-484A-9C3A-AE9A66995C50}">
  <cacheSource type="worksheet">
    <worksheetSource name="Calctable"/>
  </cacheSource>
  <cacheFields count="23">
    <cacheField name="Category" numFmtId="0">
      <sharedItems count="15">
        <s v="Energy"/>
        <s v="Materials procured"/>
        <s v="Materials cups, tableware, cutlery"/>
        <s v="Materials end-of-life"/>
        <s v="Travel"/>
        <s v="Transport"/>
        <s v="Water"/>
        <s v="Food"/>
        <s v="Drinks"/>
        <s v="Overnight stay"/>
        <s v="Digital"/>
        <s v="Carbon removal"/>
        <s v="Food &amp; drinks" u="1"/>
        <s v="Procured materials" u="1"/>
        <s v="Travel &amp; transport" u="1"/>
      </sharedItems>
    </cacheField>
    <cacheField name="Sub-category" numFmtId="0">
      <sharedItems containsBlank="1" count="28">
        <s v="Electricity"/>
        <s v="Fuel"/>
        <s v="Procured new materials"/>
        <s v="Reusable cups, tableware and cutlery"/>
        <s v="Recyclable single use cups, tableware and cutlery"/>
        <s v="Recycled Materials"/>
        <s v="Residual Waste"/>
        <s v="Visitors"/>
        <s v="Artists"/>
        <s v="Crew, volunteers and suppliers"/>
        <s v="Internal transport and building equipment"/>
        <s v="Supplier transportation"/>
        <s v="Fuel replacement"/>
        <s v="Input"/>
        <s v="Output"/>
        <s v="Food"/>
        <s v="Drinks"/>
        <s v="Internal stays"/>
        <s v="External stays"/>
        <s v="Website"/>
        <s v="Emails"/>
        <s v="App"/>
        <s v="Social media"/>
        <s v="Stored data"/>
        <s v="Carbon removal"/>
        <m u="1"/>
        <s v="Direct" u="1"/>
        <s v="Indirect" u="1"/>
      </sharedItems>
    </cacheField>
    <cacheField name="Fill-out indicator" numFmtId="0">
      <sharedItems/>
    </cacheField>
    <cacheField name="Source" numFmtId="0">
      <sharedItems/>
    </cacheField>
    <cacheField name="Entry_AD_0" numFmtId="1">
      <sharedItems containsSemiMixedTypes="0" containsString="0" containsNumber="1" containsInteger="1" minValue="0" maxValue="0"/>
    </cacheField>
    <cacheField name="Unit_AD_0" numFmtId="0">
      <sharedItems count="16">
        <s v="kWh"/>
        <s v="litres"/>
        <s v="kg"/>
        <s v="Nm3"/>
        <s v="Number of items"/>
        <s v="Traveller-km"/>
        <s v="tonnes CO2e"/>
        <s v="meals"/>
        <s v="amount"/>
        <s v="number of views"/>
        <s v="nr emails sent"/>
        <s v="nr app sessions"/>
        <s v="nr of views"/>
        <s v="data GB"/>
        <s v="tonnes" u="1"/>
        <s v="Vehicle-km" u="1"/>
      </sharedItems>
    </cacheField>
    <cacheField name="Conv fact 1" numFmtId="0">
      <sharedItems containsSemiMixedTypes="0" containsString="0" containsNumber="1" minValue="9.2999999999999992E-3" maxValue="1"/>
    </cacheField>
    <cacheField name="Unit_AD_1" numFmtId="0">
      <sharedItems/>
    </cacheField>
    <cacheField name="Conv fact 2" numFmtId="0">
      <sharedItems containsSemiMixedTypes="0" containsString="0" containsNumber="1" minValue="8.7000000000000001E-4" maxValue="1000"/>
    </cacheField>
    <cacheField name="Unit_AD_2" numFmtId="0">
      <sharedItems/>
    </cacheField>
    <cacheField name="Indicator-short" numFmtId="0">
      <sharedItems containsBlank="1" count="95">
        <s v="Electricity"/>
        <s v="Diesel"/>
        <s v="Biofuel"/>
        <s v="Hydrogen"/>
        <s v="Natural gas"/>
        <s v="Biogas"/>
        <s v="Aluminum"/>
        <s v="Steel"/>
        <s v="(Other) metals"/>
        <s v="Wood"/>
        <s v="Synthetic textiles"/>
        <s v="Bio-based textiles"/>
        <s v="Synthetic plastics"/>
        <s v="Bio-based plastics"/>
        <s v="Paper"/>
        <s v="Cups, tableware, cutlery"/>
        <s v="Paper/cardboard"/>
        <s v="Glass"/>
        <s v="Plastic"/>
        <s v="Metals"/>
        <s v="Organic / food"/>
        <s v="Cooking oil"/>
        <s v="Building / demolition"/>
        <s v="Residual"/>
        <s v="Foot or bicycle"/>
        <s v="Metro or tram"/>
        <s v="Local bus"/>
        <s v="Car or taxi"/>
        <s v="Coach"/>
        <s v="Train"/>
        <s v="Airplane"/>
        <s v="Ship/ferry"/>
        <s v="Shuttle"/>
        <s v="Internal"/>
        <s v="Supplier"/>
        <s v="Fuel replacement"/>
        <s v="Water input"/>
        <s v="Reused water"/>
        <s v="Water output"/>
        <s v="Vegetables"/>
        <s v="Grains"/>
        <s v="Fruits"/>
        <s v="Sauces"/>
        <s v="Dairy"/>
        <s v="Red meat"/>
        <s v="White meat"/>
        <s v="Seafood"/>
        <s v="Meals"/>
        <s v="Beer"/>
        <s v="Craft beer"/>
        <s v="Coffee"/>
        <s v="Bottled water"/>
        <s v="Soda"/>
        <s v="Fruit juice"/>
        <s v="Wine"/>
        <s v="Dairy-based drink"/>
        <s v="Mixed drinks"/>
        <s v="Spirits"/>
        <s v="Tea"/>
        <s v="Tap water"/>
        <s v="Tap water soda"/>
        <s v="Owned campsite"/>
        <s v="External campsite"/>
        <s v="Hotels, houses, apartments"/>
        <s v="Website"/>
        <s v="Emails"/>
        <s v="App"/>
        <s v="Social media"/>
        <s v="Stored data"/>
        <s v="Carbon removal"/>
        <s v="Gasoline" u="1"/>
        <s v="Grid" u="1"/>
        <s v="Local" u="1"/>
        <s v="Batteries" u="1"/>
        <s v="Generators" u="1"/>
        <s v="Bottles" u="1"/>
        <s v="Grid and bottles" u="1"/>
        <s v="Potable water" u="1"/>
        <s v="Non-potable water" u="1"/>
        <s v="Cleaned water" u="1"/>
        <s v="Waste water" u="1"/>
        <m u="1"/>
        <s v="Of" u="1"/>
        <s v="Sessions" u="1"/>
        <s v="Data" u="1"/>
        <s v="From  can" u="1"/>
        <s v="Low Emission Soda / Soft Drinks From Bottle / can (between 0 and 0.19 kg co2 per litre)" u="1"/>
        <s v="Zero Emission Soda / Soft Drinks From Bottle / can (net 0 kg co2 per litre)" u="1"/>
        <s v="Emission/ soft drinks from tap water (only one option; very low emission factor)" u="1"/>
        <s v="Reusable cups" u="1"/>
        <s v="Reusable tableware" u="1"/>
        <s v="Reusable cutlery" u="1"/>
        <s v="Single-use cups" u="1"/>
        <s v="Single-use tableware" u="1"/>
        <s v="Single-use cutlery" u="1"/>
      </sharedItems>
    </cacheField>
    <cacheField name="Indicator-type" numFmtId="0">
      <sharedItems containsBlank="1" count="55">
        <s v="Grid"/>
        <s v="Local prod."/>
        <s v="Batteries"/>
        <s v="Generators"/>
        <s v="Bottles"/>
        <s v="Grid and bottles"/>
        <s v="Virgin"/>
        <s v="Recycled / Second Hand"/>
        <s v="Virgin - Bio-based"/>
        <s v="Residual waste"/>
        <s v="Single-use"/>
        <s v="Separated for recycling"/>
        <s v="Foot or bicycle"/>
        <s v="Metro or tram"/>
        <s v="Local bus"/>
        <s v="Car or taxi"/>
        <s v="Coach"/>
        <s v="Train"/>
        <s v="Airplane"/>
        <s v="Ship/ferry"/>
        <s v="Shuttle"/>
        <s v="Electricity"/>
        <s v="Biofuel"/>
        <s v="Diesel"/>
        <s v="Gasoline"/>
        <s v="Biogas"/>
        <s v="Natural gas"/>
        <s v="Air"/>
        <s v="Marine"/>
        <s v="Road"/>
        <s v="Potable"/>
        <s v="Non-potable"/>
        <s v="."/>
        <s v="Cleaned on-site"/>
        <s v="Removed from site"/>
        <s v="Super high"/>
        <s v="High"/>
        <s v="Medium"/>
        <s v="Low"/>
        <s v="Ultra low"/>
        <s v="Regular"/>
        <s v="Low emission"/>
        <s v="Zero emission"/>
        <s v="Regular emission"/>
        <s v="Climate neutral"/>
        <s v="-" u="1"/>
        <s v="Sustainable" u="1"/>
        <s v="Non-sustainable" u="1"/>
        <s v="Renewable" u="1"/>
        <s v="Non-renewable" u="1"/>
        <s v="Green hydrogen" u="1"/>
        <s v="Grey hydrogen" u="1"/>
        <s v="Fossil" u="1"/>
        <m u="1"/>
        <s v="Virgin - biobased" u="1"/>
      </sharedItems>
    </cacheField>
    <cacheField name="Sust.-class" numFmtId="0">
      <sharedItems containsBlank="1" count="10">
        <s v="Renewable"/>
        <s v="Non-renewable"/>
        <s v="Non-sustainable"/>
        <s v="Sustainable"/>
        <s v="Non-circular"/>
        <s v="Circular"/>
        <s v="Virgin"/>
        <s v="Biobased/recycled"/>
        <s v="."/>
        <m u="1"/>
      </sharedItems>
    </cacheField>
    <cacheField name="Value_AD_kg" numFmtId="168">
      <sharedItems containsString="0" containsBlank="1" containsNumber="1" containsInteger="1" minValue="0" maxValue="0"/>
    </cacheField>
    <cacheField name="Value_AD_unit" numFmtId="168">
      <sharedItems containsBlank="1"/>
    </cacheField>
    <cacheField name="EF" numFmtId="2">
      <sharedItems containsSemiMixedTypes="0" containsString="0" containsNumber="1" minValue="-1" maxValue="15780"/>
    </cacheField>
    <cacheField name="EF-Unit" numFmtId="0">
      <sharedItems/>
    </cacheField>
    <cacheField name="Unit check" numFmtId="0">
      <sharedItems/>
    </cacheField>
    <cacheField name="Results _x000a_(kg CO2-eq)" numFmtId="175">
      <sharedItems containsString="0" containsBlank="1" containsNumber="1" containsInteger="1" minValue="0" maxValue="0"/>
    </cacheField>
    <cacheField name="Results_x000a_(ton CO2-eq)" numFmtId="175">
      <sharedItems containsString="0" containsBlank="1" containsNumber="1" containsInteger="1" minValue="0" maxValue="0"/>
    </cacheField>
    <cacheField name="Compensation (ton)" numFmtId="175">
      <sharedItems containsSemiMixedTypes="0" containsString="0" containsNumber="1" containsInteger="1" minValue="0" maxValue="0"/>
    </cacheField>
    <cacheField name="Results incl. comp. (kg CO2-eq" numFmtId="175">
      <sharedItems containsSemiMixedTypes="0" containsString="0" containsNumber="1" containsInteger="1" minValue="0" maxValue="0"/>
    </cacheField>
    <cacheField name="Results incl. comp. (ton CO2-eq2" numFmtId="175">
      <sharedItems containsSemiMixedTypes="0" containsString="0" containsNumber="1" containsInteger="1" minValue="0" maxValue="0"/>
    </cacheField>
  </cacheFields>
  <extLst>
    <ext xmlns:x14="http://schemas.microsoft.com/office/spreadsheetml/2009/9/main" uri="{725AE2AE-9491-48be-B2B4-4EB974FC3084}">
      <x14:pivotCacheDefinition pivotCacheId="100913297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
  <r>
    <x v="0"/>
    <x v="0"/>
    <s v="Renewable electricity from grid"/>
    <s v="Direct"/>
    <n v="0"/>
    <x v="0"/>
    <n v="1"/>
    <s v="kWh"/>
    <n v="1"/>
    <s v="kWh"/>
    <x v="0"/>
    <x v="0"/>
    <x v="0"/>
    <m/>
    <s v="kwh"/>
    <n v="0"/>
    <s v="kg CO2 / kWh"/>
    <b v="1"/>
    <n v="0"/>
    <n v="0"/>
    <n v="0"/>
    <n v="0"/>
    <n v="0"/>
  </r>
  <r>
    <x v="0"/>
    <x v="0"/>
    <s v="Non-renewable electricity from grid"/>
    <s v="Direct"/>
    <n v="0"/>
    <x v="0"/>
    <n v="1"/>
    <s v="kWh"/>
    <n v="1"/>
    <s v="kWh"/>
    <x v="0"/>
    <x v="0"/>
    <x v="1"/>
    <m/>
    <m/>
    <n v="0.38521996819553"/>
    <s v="kg CO2 / kWh"/>
    <b v="1"/>
    <n v="0"/>
    <n v="0"/>
    <n v="0"/>
    <n v="0"/>
    <n v="0"/>
  </r>
  <r>
    <x v="0"/>
    <x v="0"/>
    <s v="Renewable electricity locally produced"/>
    <s v="Direct"/>
    <n v="0"/>
    <x v="0"/>
    <n v="1"/>
    <s v="kWh"/>
    <n v="1"/>
    <s v="kWh"/>
    <x v="0"/>
    <x v="1"/>
    <x v="0"/>
    <m/>
    <m/>
    <n v="0"/>
    <s v="kg CO2 / kWh"/>
    <b v="1"/>
    <n v="0"/>
    <n v="0"/>
    <n v="0"/>
    <n v="0"/>
    <n v="0"/>
  </r>
  <r>
    <x v="0"/>
    <x v="0"/>
    <s v="Renewable electricity from batteries"/>
    <s v="Direct"/>
    <n v="0"/>
    <x v="0"/>
    <n v="1"/>
    <s v="kWh"/>
    <n v="1"/>
    <s v="kWh"/>
    <x v="0"/>
    <x v="2"/>
    <x v="0"/>
    <m/>
    <m/>
    <n v="0"/>
    <s v="kg CO2 / kWh"/>
    <b v="1"/>
    <n v="0"/>
    <n v="0"/>
    <n v="0"/>
    <n v="0"/>
    <n v="0"/>
  </r>
  <r>
    <x v="0"/>
    <x v="0"/>
    <s v="Non-renewable electricity from batteries"/>
    <s v="Direct"/>
    <n v="0"/>
    <x v="0"/>
    <n v="1"/>
    <s v="kWh"/>
    <n v="1"/>
    <s v="kWh"/>
    <x v="0"/>
    <x v="2"/>
    <x v="1"/>
    <m/>
    <m/>
    <n v="0.38521996819553"/>
    <s v="kg CO2 / kWh"/>
    <b v="1"/>
    <n v="0"/>
    <n v="0"/>
    <n v="0"/>
    <n v="0"/>
    <n v="0"/>
  </r>
  <r>
    <x v="0"/>
    <x v="1"/>
    <s v="Fossil diesel for generators"/>
    <s v="Direct"/>
    <n v="0"/>
    <x v="1"/>
    <n v="1"/>
    <s v="litres"/>
    <n v="1"/>
    <s v="L"/>
    <x v="1"/>
    <x v="3"/>
    <x v="2"/>
    <m/>
    <m/>
    <n v="3.2509999999999999"/>
    <s v="kg CO2-eq / L"/>
    <b v="1"/>
    <n v="0"/>
    <n v="0"/>
    <n v="0"/>
    <n v="0"/>
    <n v="0"/>
  </r>
  <r>
    <x v="0"/>
    <x v="1"/>
    <s v="Sustainable biofuel (HVO-UCO/Tall B100) for generators"/>
    <s v="Direct"/>
    <n v="0"/>
    <x v="1"/>
    <n v="1"/>
    <s v="litres"/>
    <n v="1"/>
    <s v="L"/>
    <x v="2"/>
    <x v="3"/>
    <x v="3"/>
    <m/>
    <m/>
    <n v="0.441"/>
    <s v="kg CO2-eq / L"/>
    <b v="1"/>
    <n v="0"/>
    <n v="0"/>
    <n v="0"/>
    <n v="0"/>
    <n v="0"/>
  </r>
  <r>
    <x v="0"/>
    <x v="1"/>
    <s v="Green hydrogen for generators"/>
    <s v="Direct"/>
    <n v="0"/>
    <x v="2"/>
    <n v="1"/>
    <s v="kg"/>
    <n v="1"/>
    <s v="kg"/>
    <x v="3"/>
    <x v="3"/>
    <x v="3"/>
    <m/>
    <m/>
    <n v="1.08"/>
    <s v="kg CO2-eq / kg"/>
    <b v="1"/>
    <n v="0"/>
    <n v="0"/>
    <n v="0"/>
    <n v="0"/>
    <n v="0"/>
  </r>
  <r>
    <x v="0"/>
    <x v="1"/>
    <s v="Grey hydrogen for generators"/>
    <s v="Direct"/>
    <n v="0"/>
    <x v="2"/>
    <n v="1"/>
    <s v="kg"/>
    <n v="1"/>
    <s v="kg"/>
    <x v="3"/>
    <x v="3"/>
    <x v="2"/>
    <m/>
    <m/>
    <n v="12.516"/>
    <s v="kg CO2-eq / kg"/>
    <b v="1"/>
    <n v="0"/>
    <n v="0"/>
    <n v="0"/>
    <n v="0"/>
    <n v="0"/>
  </r>
  <r>
    <x v="0"/>
    <x v="1"/>
    <s v="Natural gas from grid "/>
    <s v="Direct"/>
    <n v="0"/>
    <x v="3"/>
    <n v="1"/>
    <s v="Nm3"/>
    <n v="1"/>
    <s v="m3"/>
    <x v="4"/>
    <x v="0"/>
    <x v="2"/>
    <m/>
    <m/>
    <n v="2.1339999999999999"/>
    <s v="kg CO2-eq / m3"/>
    <b v="1"/>
    <n v="0"/>
    <n v="0"/>
    <n v="0"/>
    <n v="0"/>
    <n v="0"/>
  </r>
  <r>
    <x v="0"/>
    <x v="1"/>
    <s v="Natural gas from bottles"/>
    <s v="Direct"/>
    <n v="0"/>
    <x v="2"/>
    <n v="1"/>
    <s v="kg"/>
    <n v="1"/>
    <s v="kg"/>
    <x v="4"/>
    <x v="4"/>
    <x v="2"/>
    <m/>
    <m/>
    <n v="2.831"/>
    <s v="kg CO2-eq / kg"/>
    <b v="1"/>
    <n v="0"/>
    <n v="0"/>
    <n v="0"/>
    <n v="0"/>
    <n v="0"/>
  </r>
  <r>
    <x v="0"/>
    <x v="1"/>
    <s v="Biogas from bottles and grid"/>
    <s v="Direct"/>
    <n v="0"/>
    <x v="2"/>
    <n v="1"/>
    <s v="kg"/>
    <n v="1"/>
    <s v="kg"/>
    <x v="5"/>
    <x v="5"/>
    <x v="2"/>
    <m/>
    <m/>
    <n v="0.79400000000000004"/>
    <s v="kg CO2-eq / kg"/>
    <b v="1"/>
    <n v="0"/>
    <n v="0"/>
    <n v="0"/>
    <n v="0"/>
    <n v="0"/>
  </r>
  <r>
    <x v="1"/>
    <x v="2"/>
    <s v="Aluminum procured - virgin"/>
    <s v="Direct"/>
    <n v="0"/>
    <x v="2"/>
    <n v="1"/>
    <s v="kg"/>
    <n v="1E-3"/>
    <s v="tonne"/>
    <x v="6"/>
    <x v="6"/>
    <x v="4"/>
    <n v="0"/>
    <m/>
    <n v="8078.4887931034482"/>
    <s v="kg CO2-eq / tonne"/>
    <b v="1"/>
    <n v="0"/>
    <n v="0"/>
    <n v="0"/>
    <n v="0"/>
    <n v="0"/>
  </r>
  <r>
    <x v="1"/>
    <x v="2"/>
    <s v="Aluminum procured - recycled / second hand"/>
    <s v="Direct"/>
    <n v="0"/>
    <x v="2"/>
    <n v="1"/>
    <s v="kg"/>
    <n v="1E-3"/>
    <s v="tonne"/>
    <x v="6"/>
    <x v="7"/>
    <x v="5"/>
    <n v="0"/>
    <m/>
    <n v="2858.4410344827579"/>
    <s v="kg CO2-eq / tonne"/>
    <b v="1"/>
    <n v="0"/>
    <n v="0"/>
    <n v="0"/>
    <n v="0"/>
    <n v="0"/>
  </r>
  <r>
    <x v="1"/>
    <x v="2"/>
    <s v="Steel procured - virgin"/>
    <s v="Direct"/>
    <n v="0"/>
    <x v="2"/>
    <n v="1"/>
    <s v="kg"/>
    <n v="1E-3"/>
    <s v="tonne"/>
    <x v="7"/>
    <x v="6"/>
    <x v="4"/>
    <n v="0"/>
    <m/>
    <n v="1935.2"/>
    <s v="kg CO2-eq / tonne"/>
    <b v="1"/>
    <n v="0"/>
    <n v="0"/>
    <n v="0"/>
    <n v="0"/>
    <n v="0"/>
  </r>
  <r>
    <x v="1"/>
    <x v="2"/>
    <s v="Steel procured - recycled / second hand"/>
    <s v="Direct"/>
    <n v="0"/>
    <x v="2"/>
    <n v="1"/>
    <s v="kg"/>
    <n v="1E-3"/>
    <s v="tonne"/>
    <x v="7"/>
    <x v="7"/>
    <x v="5"/>
    <n v="0"/>
    <m/>
    <n v="628.94000000000005"/>
    <s v="kg CO2-eq / tonne"/>
    <b v="1"/>
    <n v="0"/>
    <n v="0"/>
    <n v="0"/>
    <n v="0"/>
    <n v="0"/>
  </r>
  <r>
    <x v="1"/>
    <x v="2"/>
    <s v="(Other) metals procured - virgin"/>
    <s v="Direct"/>
    <n v="0"/>
    <x v="2"/>
    <n v="1"/>
    <s v="kg"/>
    <n v="1E-3"/>
    <s v="tonne"/>
    <x v="8"/>
    <x v="6"/>
    <x v="4"/>
    <n v="0"/>
    <m/>
    <n v="5304.06"/>
    <s v="kg CO2-eq / tonne"/>
    <b v="1"/>
    <n v="0"/>
    <n v="0"/>
    <n v="0"/>
    <n v="0"/>
    <n v="0"/>
  </r>
  <r>
    <x v="1"/>
    <x v="2"/>
    <s v="(Other) metals procured - recycled / second hand"/>
    <s v="Direct"/>
    <n v="0"/>
    <x v="2"/>
    <n v="1"/>
    <s v="kg"/>
    <n v="1E-3"/>
    <s v="tonne"/>
    <x v="8"/>
    <x v="7"/>
    <x v="5"/>
    <n v="0"/>
    <m/>
    <n v="1723.8195000000003"/>
    <s v="kg CO2-eq / tonne"/>
    <b v="1"/>
    <n v="0"/>
    <n v="0"/>
    <n v="0"/>
    <n v="0"/>
    <n v="0"/>
  </r>
  <r>
    <x v="1"/>
    <x v="2"/>
    <s v="Wood procured - virgin"/>
    <s v="Direct"/>
    <n v="0"/>
    <x v="2"/>
    <n v="1"/>
    <s v="kg"/>
    <n v="1E-3"/>
    <s v="tonne"/>
    <x v="9"/>
    <x v="8"/>
    <x v="5"/>
    <n v="0"/>
    <m/>
    <n v="823"/>
    <s v="kg CO2-eq / tonne"/>
    <b v="1"/>
    <n v="0"/>
    <n v="0"/>
    <n v="0"/>
    <n v="0"/>
    <n v="0"/>
  </r>
  <r>
    <x v="1"/>
    <x v="2"/>
    <s v="Wood procured - recycled / second hand"/>
    <s v="Direct"/>
    <n v="0"/>
    <x v="2"/>
    <n v="1"/>
    <s v="kg"/>
    <n v="1E-3"/>
    <s v="tonne"/>
    <x v="9"/>
    <x v="7"/>
    <x v="5"/>
    <n v="0"/>
    <m/>
    <n v="113"/>
    <s v="kg CO2-eq / tonne"/>
    <b v="1"/>
    <n v="0"/>
    <n v="0"/>
    <n v="0"/>
    <n v="0"/>
    <n v="0"/>
  </r>
  <r>
    <x v="1"/>
    <x v="2"/>
    <s v="Synthetic textiles procured - virgin"/>
    <s v="Direct"/>
    <n v="0"/>
    <x v="2"/>
    <n v="1"/>
    <s v="kg"/>
    <n v="1E-3"/>
    <s v="tonne"/>
    <x v="10"/>
    <x v="6"/>
    <x v="4"/>
    <n v="0"/>
    <m/>
    <n v="15780"/>
    <s v="kg CO2-eq / tonne"/>
    <b v="1"/>
    <n v="0"/>
    <n v="0"/>
    <n v="0"/>
    <n v="0"/>
    <n v="0"/>
  </r>
  <r>
    <x v="1"/>
    <x v="2"/>
    <s v="Synthetic textiles procured - recycled / second hand"/>
    <s v="Direct"/>
    <n v="0"/>
    <x v="2"/>
    <n v="1"/>
    <s v="kg"/>
    <n v="1E-3"/>
    <s v="tonne"/>
    <x v="10"/>
    <x v="7"/>
    <x v="5"/>
    <n v="0"/>
    <m/>
    <n v="5200"/>
    <s v="kg CO2-eq / tonne"/>
    <b v="1"/>
    <n v="0"/>
    <n v="0"/>
    <n v="0"/>
    <n v="0"/>
    <n v="0"/>
  </r>
  <r>
    <x v="1"/>
    <x v="2"/>
    <s v="Bio-based textiles procured - virgin"/>
    <s v="Direct"/>
    <n v="0"/>
    <x v="2"/>
    <n v="1"/>
    <s v="kg"/>
    <n v="1E-3"/>
    <s v="tonne"/>
    <x v="11"/>
    <x v="8"/>
    <x v="5"/>
    <n v="0"/>
    <m/>
    <n v="8230"/>
    <s v="kg CO2-eq / tonne"/>
    <b v="1"/>
    <n v="0"/>
    <n v="0"/>
    <n v="0"/>
    <n v="0"/>
    <n v="0"/>
  </r>
  <r>
    <x v="1"/>
    <x v="2"/>
    <s v="Bio-based textiles procured - recycled / second hand"/>
    <s v="Direct"/>
    <n v="0"/>
    <x v="2"/>
    <n v="1"/>
    <s v="kg"/>
    <n v="1E-3"/>
    <s v="tonne"/>
    <x v="11"/>
    <x v="7"/>
    <x v="5"/>
    <n v="0"/>
    <m/>
    <n v="2400"/>
    <s v="kg CO2-eq / tonne"/>
    <b v="1"/>
    <n v="0"/>
    <n v="0"/>
    <n v="0"/>
    <n v="0"/>
    <n v="0"/>
  </r>
  <r>
    <x v="1"/>
    <x v="2"/>
    <s v="Synthetic plastics procured - virgin"/>
    <s v="Direct"/>
    <n v="0"/>
    <x v="2"/>
    <n v="1"/>
    <s v="kg"/>
    <n v="1E-3"/>
    <s v="tonne"/>
    <x v="12"/>
    <x v="6"/>
    <x v="4"/>
    <n v="0"/>
    <m/>
    <n v="1807.4000000000003"/>
    <s v="kg CO2-eq / tonne"/>
    <b v="1"/>
    <n v="0"/>
    <n v="0"/>
    <n v="0"/>
    <n v="0"/>
    <n v="0"/>
  </r>
  <r>
    <x v="1"/>
    <x v="2"/>
    <s v="Synthetic plastics procured - recycled / second hand"/>
    <s v="Direct"/>
    <n v="0"/>
    <x v="2"/>
    <n v="1"/>
    <s v="kg"/>
    <n v="1E-3"/>
    <s v="tonne"/>
    <x v="12"/>
    <x v="7"/>
    <x v="5"/>
    <n v="0"/>
    <m/>
    <n v="399.2"/>
    <s v="kg CO2-eq / tonne"/>
    <b v="1"/>
    <n v="0"/>
    <n v="0"/>
    <n v="0"/>
    <n v="0"/>
    <n v="0"/>
  </r>
  <r>
    <x v="1"/>
    <x v="2"/>
    <s v="Bio-based plastics procured - virgin"/>
    <s v="Direct"/>
    <n v="0"/>
    <x v="2"/>
    <n v="1"/>
    <s v="kg"/>
    <n v="1E-3"/>
    <s v="tonne"/>
    <x v="13"/>
    <x v="8"/>
    <x v="5"/>
    <n v="0"/>
    <m/>
    <n v="446.70051839035256"/>
    <s v="kg CO2-eq / tonne"/>
    <b v="1"/>
    <n v="0"/>
    <n v="0"/>
    <n v="0"/>
    <n v="0"/>
    <n v="0"/>
  </r>
  <r>
    <x v="1"/>
    <x v="2"/>
    <s v="Bio-based plastics procured - recycled / second hand"/>
    <s v="Direct"/>
    <n v="0"/>
    <x v="2"/>
    <n v="1"/>
    <s v="kg"/>
    <n v="1E-3"/>
    <s v="tonne"/>
    <x v="13"/>
    <x v="7"/>
    <x v="5"/>
    <n v="0"/>
    <m/>
    <n v="98.662635244787381"/>
    <s v="kg CO2-eq / tonne"/>
    <b v="1"/>
    <n v="0"/>
    <n v="0"/>
    <n v="0"/>
    <n v="0"/>
    <n v="0"/>
  </r>
  <r>
    <x v="1"/>
    <x v="2"/>
    <s v="Paper procured - virgin"/>
    <s v="Direct"/>
    <n v="0"/>
    <x v="2"/>
    <n v="1"/>
    <s v="kg"/>
    <n v="1E-3"/>
    <s v="tonne"/>
    <x v="14"/>
    <x v="8"/>
    <x v="5"/>
    <n v="0"/>
    <m/>
    <n v="741"/>
    <s v="kg CO2-eq / tonne"/>
    <b v="1"/>
    <n v="0"/>
    <n v="0"/>
    <n v="0"/>
    <n v="0"/>
    <n v="0"/>
  </r>
  <r>
    <x v="1"/>
    <x v="2"/>
    <s v="Paper procured - recycled / second hand"/>
    <s v="Direct"/>
    <n v="0"/>
    <x v="2"/>
    <n v="1"/>
    <s v="kg"/>
    <n v="1E-3"/>
    <s v="tonne"/>
    <x v="14"/>
    <x v="7"/>
    <x v="5"/>
    <n v="0"/>
    <m/>
    <n v="459.42"/>
    <s v="kg CO2-eq / tonne"/>
    <b v="1"/>
    <n v="0"/>
    <n v="0"/>
    <n v="0"/>
    <n v="0"/>
    <n v="0"/>
  </r>
  <r>
    <x v="2"/>
    <x v="3"/>
    <s v="Reusable cups missing"/>
    <s v="Indirect"/>
    <n v="0"/>
    <x v="4"/>
    <n v="1"/>
    <s v="number of items"/>
    <n v="0.02"/>
    <s v="kg"/>
    <x v="15"/>
    <x v="9"/>
    <x v="4"/>
    <n v="0"/>
    <m/>
    <n v="1.63"/>
    <s v="kg CO2 / kg"/>
    <b v="1"/>
    <n v="0"/>
    <n v="0"/>
    <n v="0"/>
    <n v="0"/>
    <n v="0"/>
  </r>
  <r>
    <x v="2"/>
    <x v="3"/>
    <s v="Reusable tableware missing"/>
    <s v="Indirect"/>
    <n v="0"/>
    <x v="4"/>
    <n v="1"/>
    <s v="number of items"/>
    <n v="0.191"/>
    <s v="kg"/>
    <x v="15"/>
    <x v="9"/>
    <x v="4"/>
    <n v="0"/>
    <m/>
    <n v="1.63"/>
    <s v="kg CO2 / kg"/>
    <b v="1"/>
    <n v="0"/>
    <n v="0"/>
    <n v="0"/>
    <n v="0"/>
    <n v="0"/>
  </r>
  <r>
    <x v="2"/>
    <x v="3"/>
    <s v="Reusable cutlery missing"/>
    <s v="Indirect"/>
    <n v="0"/>
    <x v="4"/>
    <n v="1"/>
    <s v="number of items"/>
    <n v="7.0000000000000001E-3"/>
    <s v="kg"/>
    <x v="15"/>
    <x v="9"/>
    <x v="4"/>
    <n v="0"/>
    <m/>
    <n v="1.63"/>
    <s v="kg CO2 / kg"/>
    <b v="1"/>
    <n v="0"/>
    <n v="0"/>
    <n v="0"/>
    <n v="0"/>
    <n v="0"/>
  </r>
  <r>
    <x v="2"/>
    <x v="4"/>
    <s v="Single-use cups - virgin plastic"/>
    <s v="Direct"/>
    <n v="0"/>
    <x v="4"/>
    <n v="1"/>
    <s v="number of items"/>
    <n v="7.1000000000000004E-3"/>
    <s v="kg"/>
    <x v="15"/>
    <x v="10"/>
    <x v="6"/>
    <n v="0"/>
    <m/>
    <n v="1.63"/>
    <s v="kg CO2 / kg"/>
    <b v="1"/>
    <n v="0"/>
    <n v="0"/>
    <n v="0"/>
    <n v="0"/>
    <n v="0"/>
  </r>
  <r>
    <x v="2"/>
    <x v="4"/>
    <s v="Single-use cups - recycled plastic or biobased material"/>
    <s v="Direct"/>
    <n v="0"/>
    <x v="4"/>
    <n v="1"/>
    <s v="number of items"/>
    <n v="7.1000000000000004E-3"/>
    <s v="kg"/>
    <x v="15"/>
    <x v="10"/>
    <x v="7"/>
    <n v="0"/>
    <m/>
    <n v="1.63"/>
    <s v="kg CO2 / kg"/>
    <b v="1"/>
    <n v="0"/>
    <n v="0"/>
    <n v="0"/>
    <n v="0"/>
    <n v="0"/>
  </r>
  <r>
    <x v="2"/>
    <x v="4"/>
    <s v="Single-use tableware - virgin plastic"/>
    <s v="Direct"/>
    <n v="0"/>
    <x v="4"/>
    <n v="9.2999999999999992E-3"/>
    <s v="kg"/>
    <n v="1E-3"/>
    <s v="tonne"/>
    <x v="15"/>
    <x v="10"/>
    <x v="6"/>
    <n v="0"/>
    <m/>
    <n v="741"/>
    <s v="kg CO2-eq / tonne"/>
    <b v="1"/>
    <n v="0"/>
    <n v="0"/>
    <n v="0"/>
    <n v="0"/>
    <n v="0"/>
  </r>
  <r>
    <x v="2"/>
    <x v="4"/>
    <s v="Single-use tableware - recycled plastic or biobased material"/>
    <s v="Direct"/>
    <n v="0"/>
    <x v="4"/>
    <n v="9.2999999999999992E-3"/>
    <s v="kg"/>
    <n v="1E-3"/>
    <s v="tonne"/>
    <x v="15"/>
    <x v="10"/>
    <x v="7"/>
    <n v="0"/>
    <m/>
    <n v="741"/>
    <s v="kg CO2-eq / tonne"/>
    <b v="1"/>
    <n v="0"/>
    <n v="0"/>
    <n v="0"/>
    <n v="0"/>
    <n v="0"/>
  </r>
  <r>
    <x v="2"/>
    <x v="4"/>
    <s v="Single-use cutlery - virgin plastic"/>
    <s v="Direct"/>
    <n v="0"/>
    <x v="4"/>
    <n v="1"/>
    <s v="number of items"/>
    <n v="1"/>
    <s v="item"/>
    <x v="15"/>
    <x v="10"/>
    <x v="6"/>
    <n v="0"/>
    <m/>
    <n v="0.03"/>
    <s v="kg CO2 / item"/>
    <b v="1"/>
    <n v="0"/>
    <n v="0"/>
    <n v="0"/>
    <n v="0"/>
    <n v="0"/>
  </r>
  <r>
    <x v="2"/>
    <x v="4"/>
    <s v="Single-use cutlery - recycled plastic or biobased material"/>
    <s v="Direct"/>
    <n v="0"/>
    <x v="4"/>
    <n v="1"/>
    <s v="number of items"/>
    <n v="1"/>
    <s v="item"/>
    <x v="15"/>
    <x v="10"/>
    <x v="7"/>
    <n v="0"/>
    <m/>
    <n v="0.03"/>
    <s v="kg CO2 / item"/>
    <b v="1"/>
    <n v="0"/>
    <n v="0"/>
    <n v="0"/>
    <n v="0"/>
    <n v="0"/>
  </r>
  <r>
    <x v="3"/>
    <x v="5"/>
    <s v="Paper/cardboard accepted for recycling"/>
    <s v="Direct"/>
    <n v="0"/>
    <x v="2"/>
    <n v="1"/>
    <s v="kg"/>
    <n v="1E-3"/>
    <s v="ton"/>
    <x v="16"/>
    <x v="11"/>
    <x v="5"/>
    <n v="0"/>
    <m/>
    <n v="73.195398533887044"/>
    <s v="kg CO2-eq / tonne"/>
    <b v="0"/>
    <n v="0"/>
    <n v="0"/>
    <n v="0"/>
    <n v="0"/>
    <n v="0"/>
  </r>
  <r>
    <x v="3"/>
    <x v="5"/>
    <s v="Glass accepted for recycling"/>
    <s v="Direct"/>
    <n v="0"/>
    <x v="2"/>
    <n v="1"/>
    <s v="kg"/>
    <n v="1E-3"/>
    <s v="ton"/>
    <x v="17"/>
    <x v="11"/>
    <x v="5"/>
    <n v="0"/>
    <m/>
    <n v="19.297758684414148"/>
    <s v="kg CO2-eq / tonne"/>
    <b v="0"/>
    <n v="0"/>
    <n v="0"/>
    <n v="0"/>
    <n v="0"/>
    <n v="0"/>
  </r>
  <r>
    <x v="3"/>
    <x v="5"/>
    <s v="Plastic accepted for recycling"/>
    <s v="Indirect"/>
    <n v="0"/>
    <x v="2"/>
    <n v="1"/>
    <s v="kg"/>
    <n v="1E-3"/>
    <s v="ton"/>
    <x v="18"/>
    <x v="11"/>
    <x v="5"/>
    <n v="0"/>
    <m/>
    <n v="270.73866410599408"/>
    <s v="kg CO2-eq / ton"/>
    <b v="1"/>
    <n v="0"/>
    <n v="0"/>
    <n v="0"/>
    <n v="0"/>
    <n v="0"/>
  </r>
  <r>
    <x v="3"/>
    <x v="5"/>
    <s v="Aluminum accepted for recycling"/>
    <s v="Direct"/>
    <n v="0"/>
    <x v="2"/>
    <n v="1"/>
    <s v="kg"/>
    <n v="1E-3"/>
    <s v="ton"/>
    <x v="6"/>
    <x v="11"/>
    <x v="5"/>
    <n v="0"/>
    <m/>
    <n v="31.566472249180947"/>
    <s v="kg CO2-eq / tonne"/>
    <b v="0"/>
    <n v="0"/>
    <n v="0"/>
    <n v="0"/>
    <n v="0"/>
    <n v="0"/>
  </r>
  <r>
    <x v="3"/>
    <x v="5"/>
    <s v="Metals accepted for recycling"/>
    <s v="Indirect"/>
    <n v="0"/>
    <x v="2"/>
    <n v="1"/>
    <s v="kg"/>
    <n v="1E-3"/>
    <s v="ton"/>
    <x v="19"/>
    <x v="11"/>
    <x v="5"/>
    <n v="0"/>
    <m/>
    <n v="38.519506459634648"/>
    <s v="kg CO2-eq / ton"/>
    <b v="1"/>
    <n v="0"/>
    <n v="0"/>
    <n v="0"/>
    <n v="0"/>
    <n v="0"/>
  </r>
  <r>
    <x v="3"/>
    <x v="5"/>
    <s v="Organic / food waste accepted for composting/fermenting"/>
    <s v="Direct"/>
    <n v="0"/>
    <x v="2"/>
    <n v="1"/>
    <s v="kg"/>
    <n v="1E-3"/>
    <s v="ton"/>
    <x v="20"/>
    <x v="11"/>
    <x v="5"/>
    <n v="0"/>
    <m/>
    <n v="32.354123436003199"/>
    <s v="kg CO2-eq / tonne"/>
    <b v="0"/>
    <n v="0"/>
    <n v="0"/>
    <n v="0"/>
    <n v="0"/>
    <n v="0"/>
  </r>
  <r>
    <x v="3"/>
    <x v="5"/>
    <s v="Cooking oil accepted for refining"/>
    <s v="Direct"/>
    <n v="0"/>
    <x v="1"/>
    <n v="1"/>
    <s v="litres"/>
    <n v="8.7000000000000001E-4"/>
    <s v="ton"/>
    <x v="21"/>
    <x v="11"/>
    <x v="5"/>
    <n v="0"/>
    <m/>
    <n v="96.925565711490847"/>
    <s v="kg CO2-eq / tonne"/>
    <b v="0"/>
    <n v="0"/>
    <n v="0"/>
    <n v="0"/>
    <n v="0"/>
    <n v="0"/>
  </r>
  <r>
    <x v="3"/>
    <x v="5"/>
    <s v="Wood accepted for recycling"/>
    <s v="Direct"/>
    <n v="0"/>
    <x v="2"/>
    <n v="1"/>
    <s v="kg"/>
    <n v="1E-3"/>
    <s v="ton"/>
    <x v="9"/>
    <x v="11"/>
    <x v="5"/>
    <n v="0"/>
    <m/>
    <n v="23.386475698798847"/>
    <s v="kg CO2-eq / tonne"/>
    <b v="0"/>
    <n v="0"/>
    <n v="0"/>
    <n v="0"/>
    <n v="0"/>
    <n v="0"/>
  </r>
  <r>
    <x v="3"/>
    <x v="5"/>
    <s v="Building / demolition waste accepted for recycling"/>
    <s v="Direct"/>
    <n v="0"/>
    <x v="2"/>
    <n v="1"/>
    <s v="kg"/>
    <n v="1E-3"/>
    <s v="ton"/>
    <x v="22"/>
    <x v="11"/>
    <x v="5"/>
    <n v="0"/>
    <m/>
    <n v="6.5091125037506803"/>
    <s v="kg CO2-eq / tonne"/>
    <b v="0"/>
    <n v="0"/>
    <n v="0"/>
    <n v="0"/>
    <n v="0"/>
    <n v="0"/>
  </r>
  <r>
    <x v="3"/>
    <x v="6"/>
    <s v="Incineration with energy recovery "/>
    <s v="Indirect"/>
    <n v="0"/>
    <x v="2"/>
    <n v="1"/>
    <s v="kg"/>
    <n v="1E-3"/>
    <s v="ton"/>
    <x v="23"/>
    <x v="9"/>
    <x v="4"/>
    <n v="0"/>
    <m/>
    <n v="525.66313438905809"/>
    <s v="kg CO2-eq / ton"/>
    <b v="1"/>
    <n v="0"/>
    <n v="0"/>
    <n v="0"/>
    <n v="0"/>
    <n v="0"/>
  </r>
  <r>
    <x v="3"/>
    <x v="6"/>
    <s v="Incineration without energy recovery"/>
    <s v="Direct"/>
    <n v="0"/>
    <x v="2"/>
    <n v="1"/>
    <s v="kg"/>
    <n v="1E-3"/>
    <s v="ton"/>
    <x v="23"/>
    <x v="9"/>
    <x v="4"/>
    <n v="0"/>
    <m/>
    <n v="525.66313438905809"/>
    <s v="kg CO2-eq / tonne"/>
    <b v="0"/>
    <n v="0"/>
    <n v="0"/>
    <n v="0"/>
    <n v="0"/>
    <n v="0"/>
  </r>
  <r>
    <x v="3"/>
    <x v="6"/>
    <s v="Landfilled"/>
    <s v="Direct"/>
    <n v="0"/>
    <x v="2"/>
    <n v="1"/>
    <s v="kg"/>
    <n v="1"/>
    <s v="kg"/>
    <x v="23"/>
    <x v="9"/>
    <x v="4"/>
    <n v="0"/>
    <m/>
    <n v="2.2410000000000001"/>
    <s v="kg CO2-eq / kg"/>
    <b v="1"/>
    <n v="0"/>
    <n v="0"/>
    <n v="0"/>
    <n v="0"/>
    <n v="0"/>
  </r>
  <r>
    <x v="4"/>
    <x v="7"/>
    <s v="Total distance VISITORS on FOOT or BICYCLE"/>
    <s v="Indirect"/>
    <n v="0"/>
    <x v="5"/>
    <n v="1"/>
    <s v="Traveller-km"/>
    <n v="1"/>
    <s v="Traveller-km"/>
    <x v="24"/>
    <x v="12"/>
    <x v="3"/>
    <m/>
    <s v="km"/>
    <n v="0"/>
    <s v="kg CO2 / traveller-km"/>
    <b v="1"/>
    <n v="0"/>
    <n v="0"/>
    <n v="0"/>
    <n v="0"/>
    <n v="0"/>
  </r>
  <r>
    <x v="4"/>
    <x v="7"/>
    <s v="Total distance VISITORS by METRO or TRAM"/>
    <s v="Indirect"/>
    <n v="0"/>
    <x v="5"/>
    <n v="1"/>
    <s v="Traveller-km"/>
    <n v="1"/>
    <s v="Traveller-km"/>
    <x v="25"/>
    <x v="13"/>
    <x v="3"/>
    <m/>
    <m/>
    <n v="0"/>
    <s v="kg CO2 / traveller-km"/>
    <b v="1"/>
    <n v="0"/>
    <n v="0"/>
    <n v="0"/>
    <n v="0"/>
    <n v="0"/>
  </r>
  <r>
    <x v="4"/>
    <x v="7"/>
    <s v="Total distance VISITORS by LOCAL BUS ON FOSSIl FUEL"/>
    <s v="Indirect"/>
    <n v="0"/>
    <x v="5"/>
    <n v="1"/>
    <s v="Traveller-km"/>
    <n v="1"/>
    <s v="Traveller-km"/>
    <x v="26"/>
    <x v="14"/>
    <x v="2"/>
    <m/>
    <m/>
    <n v="9.1999999999999998E-2"/>
    <s v="kg CO2 / traveller-km"/>
    <b v="1"/>
    <n v="0"/>
    <n v="0"/>
    <n v="0"/>
    <n v="0"/>
    <n v="0"/>
  </r>
  <r>
    <x v="4"/>
    <x v="7"/>
    <s v="Total distance VISITORS by LOCAL BUS ELECTRIC or BIOFUEL"/>
    <s v="Indirect"/>
    <n v="0"/>
    <x v="5"/>
    <n v="1"/>
    <s v="Traveller-km"/>
    <n v="1"/>
    <s v="Traveller-km"/>
    <x v="26"/>
    <x v="14"/>
    <x v="3"/>
    <m/>
    <m/>
    <n v="0"/>
    <s v="kg CO2 / traveller-km"/>
    <b v="1"/>
    <n v="0"/>
    <n v="0"/>
    <n v="0"/>
    <n v="0"/>
    <n v="0"/>
  </r>
  <r>
    <x v="4"/>
    <x v="7"/>
    <s v="Total distance VISITORS by CAR or TAXI on FOSSIL FUEL"/>
    <s v="Indirect"/>
    <n v="0"/>
    <x v="5"/>
    <n v="0.5"/>
    <s v="Vehicle-km"/>
    <n v="1"/>
    <s v="Vehicle-km"/>
    <x v="27"/>
    <x v="15"/>
    <x v="2"/>
    <m/>
    <m/>
    <n v="0.191"/>
    <s v="kg CO2 / vehicle-km"/>
    <b v="1"/>
    <n v="0"/>
    <n v="0"/>
    <n v="0"/>
    <n v="0"/>
    <n v="0"/>
  </r>
  <r>
    <x v="4"/>
    <x v="7"/>
    <s v="Total distance VISITORS by ELECTRIC OR BIOFUEL CAR or TAXI"/>
    <s v="Indirect"/>
    <n v="0"/>
    <x v="5"/>
    <n v="0.5"/>
    <s v="Vehicle-km"/>
    <n v="1"/>
    <s v="Vehicle-km"/>
    <x v="27"/>
    <x v="15"/>
    <x v="3"/>
    <m/>
    <m/>
    <n v="6.2E-2"/>
    <s v="kg CO2 / vehicle-km"/>
    <b v="1"/>
    <n v="0"/>
    <n v="0"/>
    <n v="0"/>
    <n v="0"/>
    <n v="0"/>
  </r>
  <r>
    <x v="4"/>
    <x v="7"/>
    <s v="Total distance VISITORS by (festival) COACH on FOSSIL FUEL"/>
    <s v="Indirect"/>
    <n v="0"/>
    <x v="5"/>
    <n v="1"/>
    <s v="Traveller-km"/>
    <n v="1"/>
    <s v="Traveller-km"/>
    <x v="28"/>
    <x v="16"/>
    <x v="2"/>
    <m/>
    <m/>
    <n v="1.9E-2"/>
    <s v="kg CO2 / traveller-km"/>
    <b v="1"/>
    <n v="0"/>
    <n v="0"/>
    <n v="0"/>
    <n v="0"/>
    <n v="0"/>
  </r>
  <r>
    <x v="4"/>
    <x v="7"/>
    <s v="Total distance VISITORS by (festival) COACH ELCTRIC of BIOFUEL"/>
    <s v="Indirect"/>
    <n v="0"/>
    <x v="5"/>
    <n v="1"/>
    <s v="Traveller-km"/>
    <n v="1"/>
    <s v="Traveller-km"/>
    <x v="28"/>
    <x v="16"/>
    <x v="3"/>
    <m/>
    <m/>
    <n v="0"/>
    <s v="kg CO2 / traveller-km"/>
    <b v="1"/>
    <n v="0"/>
    <n v="0"/>
    <n v="0"/>
    <n v="0"/>
    <n v="0"/>
  </r>
  <r>
    <x v="4"/>
    <x v="7"/>
    <s v="Total distance VISITORS by TRAIN"/>
    <s v="Indirect"/>
    <n v="0"/>
    <x v="5"/>
    <n v="1"/>
    <s v="Traveller-km"/>
    <n v="1"/>
    <s v="Traveller-km"/>
    <x v="29"/>
    <x v="17"/>
    <x v="3"/>
    <m/>
    <m/>
    <n v="0"/>
    <s v="kg CO2 / traveller-km"/>
    <b v="1"/>
    <n v="0"/>
    <n v="0"/>
    <n v="0"/>
    <n v="0"/>
    <n v="0"/>
  </r>
  <r>
    <x v="4"/>
    <x v="7"/>
    <s v="Total distance VISITORS by AIRPLANE"/>
    <s v="Indirect"/>
    <n v="0"/>
    <x v="5"/>
    <n v="1"/>
    <s v="Traveller-km"/>
    <n v="1"/>
    <s v="Traveller-km"/>
    <x v="30"/>
    <x v="18"/>
    <x v="2"/>
    <m/>
    <m/>
    <n v="0.182"/>
    <s v="kg CO2 / traveller-km"/>
    <b v="1"/>
    <n v="0"/>
    <n v="0"/>
    <n v="0"/>
    <n v="0"/>
    <n v="0"/>
  </r>
  <r>
    <x v="4"/>
    <x v="7"/>
    <s v="Total distance VISITORS by SHIP/FERRY"/>
    <s v="Indirect"/>
    <n v="0"/>
    <x v="5"/>
    <n v="1"/>
    <s v="Traveller-km"/>
    <n v="1"/>
    <s v="Traveller-km"/>
    <x v="31"/>
    <x v="19"/>
    <x v="2"/>
    <m/>
    <m/>
    <n v="1.8738000000000001E-2"/>
    <s v="kg CO2 / traveller-km"/>
    <b v="1"/>
    <n v="0"/>
    <n v="0"/>
    <n v="0"/>
    <n v="0"/>
    <n v="0"/>
  </r>
  <r>
    <x v="4"/>
    <x v="7"/>
    <s v="Total distance VISITORS by SAILING, ELECTRIC or BIOFUEL SHIP/FERRY"/>
    <s v="Indirect"/>
    <n v="0"/>
    <x v="5"/>
    <n v="1"/>
    <s v="Traveller-km"/>
    <n v="1"/>
    <s v="Traveller-km"/>
    <x v="31"/>
    <x v="19"/>
    <x v="3"/>
    <m/>
    <m/>
    <n v="0"/>
    <s v="kg CO2 / traveller-km"/>
    <b v="1"/>
    <n v="0"/>
    <n v="0"/>
    <n v="0"/>
    <n v="0"/>
    <n v="0"/>
  </r>
  <r>
    <x v="4"/>
    <x v="7"/>
    <s v="Total distance VISITORS by SHUTTLE on FOSSIL FUEL"/>
    <s v="Indirect"/>
    <n v="0"/>
    <x v="5"/>
    <n v="1"/>
    <s v="Traveller-km"/>
    <n v="1"/>
    <s v="Traveller-km"/>
    <x v="32"/>
    <x v="20"/>
    <x v="2"/>
    <m/>
    <m/>
    <n v="1.9E-2"/>
    <s v="kg CO2 / traveller-km"/>
    <b v="1"/>
    <n v="0"/>
    <n v="0"/>
    <n v="0"/>
    <n v="0"/>
    <n v="0"/>
  </r>
  <r>
    <x v="4"/>
    <x v="7"/>
    <s v="Total distance VISITORS by SHUTTLE ELECTRIC or BIOFUEL"/>
    <s v="Indirect"/>
    <n v="0"/>
    <x v="5"/>
    <n v="1"/>
    <s v="Traveller-km"/>
    <n v="1"/>
    <s v="Traveller-km"/>
    <x v="32"/>
    <x v="20"/>
    <x v="3"/>
    <m/>
    <m/>
    <n v="0"/>
    <s v="kg CO2 / traveller-km"/>
    <b v="1"/>
    <n v="0"/>
    <n v="0"/>
    <n v="0"/>
    <n v="0"/>
    <n v="0"/>
  </r>
  <r>
    <x v="4"/>
    <x v="8"/>
    <s v="Total distance ARTISTS on FOOT or BICYCLE"/>
    <s v="Indirect"/>
    <n v="0"/>
    <x v="5"/>
    <n v="1"/>
    <s v="Traveller-km"/>
    <n v="1"/>
    <s v="Traveller-km"/>
    <x v="24"/>
    <x v="12"/>
    <x v="3"/>
    <m/>
    <m/>
    <n v="0"/>
    <s v="kg CO2 / traveller-km"/>
    <b v="1"/>
    <n v="0"/>
    <n v="0"/>
    <n v="0"/>
    <n v="0"/>
    <n v="0"/>
  </r>
  <r>
    <x v="4"/>
    <x v="8"/>
    <s v="Total distance ARTISTS by METRO or TRAM"/>
    <s v="Indirect"/>
    <n v="0"/>
    <x v="5"/>
    <n v="1"/>
    <s v="Traveller-km"/>
    <n v="1"/>
    <s v="Traveller-km"/>
    <x v="25"/>
    <x v="13"/>
    <x v="3"/>
    <m/>
    <m/>
    <n v="0"/>
    <s v="kg CO2 / traveller-km"/>
    <b v="1"/>
    <n v="0"/>
    <n v="0"/>
    <n v="0"/>
    <n v="0"/>
    <n v="0"/>
  </r>
  <r>
    <x v="4"/>
    <x v="8"/>
    <s v="Total distance ARTISTS by LOCAL BUS ON FOSSIl FUEL"/>
    <s v="Indirect"/>
    <n v="0"/>
    <x v="5"/>
    <n v="1"/>
    <s v="Traveller-km"/>
    <n v="1"/>
    <s v="Traveller-km"/>
    <x v="26"/>
    <x v="14"/>
    <x v="2"/>
    <m/>
    <m/>
    <n v="9.1999999999999998E-2"/>
    <s v="kg CO2 / traveller-km"/>
    <b v="1"/>
    <n v="0"/>
    <n v="0"/>
    <n v="0"/>
    <n v="0"/>
    <n v="0"/>
  </r>
  <r>
    <x v="4"/>
    <x v="8"/>
    <s v="Total distance ARTISTS by LOCAL BUS ELECTRIC or BIOFUEL"/>
    <s v="Indirect"/>
    <n v="0"/>
    <x v="5"/>
    <n v="1"/>
    <s v="Traveller-km"/>
    <n v="1"/>
    <s v="Traveller-km"/>
    <x v="26"/>
    <x v="14"/>
    <x v="3"/>
    <m/>
    <m/>
    <n v="0"/>
    <s v="kg CO2 / traveller-km"/>
    <b v="1"/>
    <n v="0"/>
    <n v="0"/>
    <n v="0"/>
    <n v="0"/>
    <n v="0"/>
  </r>
  <r>
    <x v="4"/>
    <x v="8"/>
    <s v="Total distance ARTISTS by CAR or TAXI on FOSSIL FUEL"/>
    <s v="Indirect"/>
    <n v="0"/>
    <x v="5"/>
    <n v="0.5"/>
    <s v="Vehicle-km"/>
    <n v="1"/>
    <s v="Vehicle-km"/>
    <x v="27"/>
    <x v="15"/>
    <x v="2"/>
    <m/>
    <m/>
    <n v="0.191"/>
    <s v="kg CO2 / vehicle-km"/>
    <b v="1"/>
    <n v="0"/>
    <n v="0"/>
    <n v="0"/>
    <n v="0"/>
    <n v="0"/>
  </r>
  <r>
    <x v="4"/>
    <x v="8"/>
    <s v="Total distance ARTISTS by ELECTRIC OR BIOFUEL CAR or TAXI"/>
    <s v="Indirect"/>
    <n v="0"/>
    <x v="5"/>
    <n v="0.5"/>
    <s v="Vehicle-km"/>
    <n v="1"/>
    <s v="Vehicle-km"/>
    <x v="27"/>
    <x v="15"/>
    <x v="3"/>
    <m/>
    <m/>
    <n v="6.2E-2"/>
    <s v="kg CO2 / vehicle-km"/>
    <b v="1"/>
    <n v="0"/>
    <n v="0"/>
    <n v="0"/>
    <n v="0"/>
    <n v="0"/>
  </r>
  <r>
    <x v="4"/>
    <x v="8"/>
    <s v="Total distance ARTISTS by (festival) COACH on FOSSIL FUEL"/>
    <s v="Indirect"/>
    <n v="0"/>
    <x v="5"/>
    <n v="1"/>
    <s v="Traveller-km"/>
    <n v="1"/>
    <s v="Traveller-km"/>
    <x v="28"/>
    <x v="16"/>
    <x v="2"/>
    <m/>
    <m/>
    <n v="1.9E-2"/>
    <s v="kg CO2 / traveller-km"/>
    <b v="1"/>
    <n v="0"/>
    <n v="0"/>
    <n v="0"/>
    <n v="0"/>
    <n v="0"/>
  </r>
  <r>
    <x v="4"/>
    <x v="8"/>
    <s v="Total distance ARTISTS by (festival) COACH ELCTRIC of BIOFUEL"/>
    <s v="Indirect"/>
    <n v="0"/>
    <x v="5"/>
    <n v="1"/>
    <s v="Traveller-km"/>
    <n v="1"/>
    <s v="Traveller-km"/>
    <x v="28"/>
    <x v="16"/>
    <x v="3"/>
    <m/>
    <m/>
    <n v="0"/>
    <s v="kg CO2 / traveller-km"/>
    <b v="1"/>
    <n v="0"/>
    <n v="0"/>
    <n v="0"/>
    <n v="0"/>
    <n v="0"/>
  </r>
  <r>
    <x v="4"/>
    <x v="8"/>
    <s v="Total distance ARTISTS by TRAIN"/>
    <s v="Indirect"/>
    <n v="0"/>
    <x v="5"/>
    <n v="1"/>
    <s v="Traveller-km"/>
    <n v="1"/>
    <s v="Traveller-km"/>
    <x v="29"/>
    <x v="17"/>
    <x v="3"/>
    <m/>
    <m/>
    <n v="0"/>
    <s v="kg CO2 / traveller-km"/>
    <b v="1"/>
    <n v="0"/>
    <n v="0"/>
    <n v="0"/>
    <n v="0"/>
    <n v="0"/>
  </r>
  <r>
    <x v="4"/>
    <x v="8"/>
    <s v="Total distance ARTISTS by AIRPLANE"/>
    <s v="Indirect"/>
    <n v="0"/>
    <x v="5"/>
    <n v="1"/>
    <s v="Traveller-km"/>
    <n v="1"/>
    <s v="Traveller-km"/>
    <x v="30"/>
    <x v="18"/>
    <x v="2"/>
    <m/>
    <m/>
    <n v="0.182"/>
    <s v="kg CO2 / traveller-km"/>
    <b v="1"/>
    <n v="0"/>
    <n v="0"/>
    <n v="0"/>
    <n v="0"/>
    <n v="0"/>
  </r>
  <r>
    <x v="4"/>
    <x v="8"/>
    <s v="Total distance ARTISTS by SHIP/FERRY"/>
    <s v="Indirect"/>
    <n v="0"/>
    <x v="5"/>
    <n v="1"/>
    <s v="Traveller-km"/>
    <n v="1"/>
    <s v="Traveller-km"/>
    <x v="31"/>
    <x v="19"/>
    <x v="2"/>
    <m/>
    <m/>
    <n v="1.8738000000000001E-2"/>
    <s v="kg CO2 / traveller-km"/>
    <b v="1"/>
    <n v="0"/>
    <n v="0"/>
    <n v="0"/>
    <n v="0"/>
    <n v="0"/>
  </r>
  <r>
    <x v="4"/>
    <x v="8"/>
    <s v="Total distance ARTISTS by SAILING, ELECTRIC or BIOFUEL SHIP/FERRY"/>
    <s v="Indirect"/>
    <n v="0"/>
    <x v="5"/>
    <n v="1"/>
    <s v="Traveller-km"/>
    <n v="1"/>
    <s v="Traveller-km"/>
    <x v="31"/>
    <x v="19"/>
    <x v="3"/>
    <m/>
    <m/>
    <n v="0"/>
    <s v="kg CO2 / traveller-km"/>
    <b v="1"/>
    <n v="0"/>
    <n v="0"/>
    <n v="0"/>
    <n v="0"/>
    <n v="0"/>
  </r>
  <r>
    <x v="4"/>
    <x v="8"/>
    <s v="Total distance ARTISTS by SHUTTLE on FOSSIL FUEL"/>
    <s v="Indirect"/>
    <n v="0"/>
    <x v="5"/>
    <n v="1"/>
    <s v="Traveller-km"/>
    <n v="1"/>
    <s v="Traveller-km"/>
    <x v="32"/>
    <x v="20"/>
    <x v="2"/>
    <m/>
    <m/>
    <n v="1.9E-2"/>
    <s v="kg CO2 / traveller-km"/>
    <b v="1"/>
    <n v="0"/>
    <n v="0"/>
    <n v="0"/>
    <n v="0"/>
    <n v="0"/>
  </r>
  <r>
    <x v="4"/>
    <x v="8"/>
    <s v="Total distance ARTISTS by SHUTTLE ELECTRIC or BIOFUEL"/>
    <s v="Indirect"/>
    <n v="0"/>
    <x v="5"/>
    <n v="1"/>
    <s v="Traveller-km"/>
    <n v="1"/>
    <s v="Traveller-km"/>
    <x v="32"/>
    <x v="20"/>
    <x v="3"/>
    <m/>
    <m/>
    <n v="0"/>
    <s v="kg CO2 / traveller-km"/>
    <b v="1"/>
    <n v="0"/>
    <n v="0"/>
    <n v="0"/>
    <n v="0"/>
    <n v="0"/>
  </r>
  <r>
    <x v="4"/>
    <x v="9"/>
    <s v="Total distance CREW, VOLUNTEERS and SUPPLIERS on FOOT or BICYCLE"/>
    <s v="Indirect"/>
    <n v="0"/>
    <x v="5"/>
    <n v="1"/>
    <s v="Traveller-km"/>
    <n v="1"/>
    <s v="Traveller-km"/>
    <x v="24"/>
    <x v="12"/>
    <x v="3"/>
    <m/>
    <m/>
    <n v="0"/>
    <s v="kg CO2 / traveller-km"/>
    <b v="1"/>
    <n v="0"/>
    <n v="0"/>
    <n v="0"/>
    <n v="0"/>
    <n v="0"/>
  </r>
  <r>
    <x v="4"/>
    <x v="9"/>
    <s v="Total distance CREW, VOLUNTEERS and SUPPLIERS by METRO or TRAM"/>
    <s v="Indirect"/>
    <n v="0"/>
    <x v="5"/>
    <n v="1"/>
    <s v="Traveller-km"/>
    <n v="1"/>
    <s v="Traveller-km"/>
    <x v="25"/>
    <x v="13"/>
    <x v="3"/>
    <m/>
    <m/>
    <n v="0"/>
    <s v="kg CO2 / traveller-km"/>
    <b v="1"/>
    <n v="0"/>
    <n v="0"/>
    <n v="0"/>
    <n v="0"/>
    <n v="0"/>
  </r>
  <r>
    <x v="4"/>
    <x v="9"/>
    <s v="Total distance CREW, VOLUNTEERS and SUPPLIERS by LOCAL BUS ON FOSSIl FUEL"/>
    <s v="Indirect"/>
    <n v="0"/>
    <x v="5"/>
    <n v="1"/>
    <s v="Traveller-km"/>
    <n v="1"/>
    <s v="Traveller-km"/>
    <x v="26"/>
    <x v="14"/>
    <x v="2"/>
    <m/>
    <m/>
    <n v="9.1999999999999998E-2"/>
    <s v="kg CO2 / traveller-km"/>
    <b v="1"/>
    <n v="0"/>
    <n v="0"/>
    <n v="0"/>
    <n v="0"/>
    <n v="0"/>
  </r>
  <r>
    <x v="4"/>
    <x v="9"/>
    <s v="Total distance CREW, VOLUNTEERS and SUPPLIERS by LOCAL BUS ELECTRIC or BIOFUEL"/>
    <s v="Indirect"/>
    <n v="0"/>
    <x v="5"/>
    <n v="1"/>
    <s v="Traveller-km"/>
    <n v="1"/>
    <s v="Traveller-km"/>
    <x v="26"/>
    <x v="14"/>
    <x v="3"/>
    <m/>
    <m/>
    <n v="0"/>
    <s v="kg CO2 / traveller-km"/>
    <b v="1"/>
    <n v="0"/>
    <n v="0"/>
    <n v="0"/>
    <n v="0"/>
    <n v="0"/>
  </r>
  <r>
    <x v="4"/>
    <x v="9"/>
    <s v="Total distance CREW, VOLUNTEERS and SUPPLIERS by CAR or TAXI on FOSSIL FUEL"/>
    <s v="Indirect"/>
    <n v="0"/>
    <x v="5"/>
    <n v="0.5"/>
    <s v="Vehicle-km"/>
    <n v="1"/>
    <s v="Vehicle-km"/>
    <x v="27"/>
    <x v="15"/>
    <x v="2"/>
    <m/>
    <s v="km"/>
    <n v="0.191"/>
    <s v="kg CO2 / vehicle-km"/>
    <b v="1"/>
    <n v="0"/>
    <n v="0"/>
    <n v="0"/>
    <n v="0"/>
    <n v="0"/>
  </r>
  <r>
    <x v="4"/>
    <x v="9"/>
    <s v="Total distance CREW, VOLUNTEERS and SUPPLIERS by ELECTRIC OR BIOFUEL CAR or TAXI"/>
    <s v="Indirect"/>
    <n v="0"/>
    <x v="5"/>
    <n v="0.5"/>
    <s v="Vehicle-km"/>
    <n v="1"/>
    <s v="Vehicle-km"/>
    <x v="27"/>
    <x v="15"/>
    <x v="3"/>
    <m/>
    <m/>
    <n v="6.2E-2"/>
    <s v="kg CO2 / vehicle-km"/>
    <b v="1"/>
    <n v="0"/>
    <n v="0"/>
    <n v="0"/>
    <n v="0"/>
    <n v="0"/>
  </r>
  <r>
    <x v="4"/>
    <x v="9"/>
    <s v="Total distance CREW, VOLUNTEERS and SUPPLIERS by (festival) COACH on FOSSIL FUEL"/>
    <s v="Indirect"/>
    <n v="0"/>
    <x v="5"/>
    <n v="1"/>
    <s v="Traveller-km"/>
    <n v="1"/>
    <s v="Traveller-km"/>
    <x v="28"/>
    <x v="16"/>
    <x v="2"/>
    <m/>
    <m/>
    <n v="1.9E-2"/>
    <s v="kg CO2 / traveller-km"/>
    <b v="1"/>
    <n v="0"/>
    <n v="0"/>
    <n v="0"/>
    <n v="0"/>
    <n v="0"/>
  </r>
  <r>
    <x v="4"/>
    <x v="9"/>
    <s v="Total distance CREW, VOLUNTEERS and SUPPLIERS by (festival) COACH ELCTRIC of BIOFUEL"/>
    <s v="Indirect"/>
    <n v="0"/>
    <x v="5"/>
    <n v="1"/>
    <s v="Traveller-km"/>
    <n v="1"/>
    <s v="Traveller-km"/>
    <x v="28"/>
    <x v="16"/>
    <x v="3"/>
    <m/>
    <m/>
    <n v="0"/>
    <s v="kg CO2 / traveller-km"/>
    <b v="1"/>
    <n v="0"/>
    <n v="0"/>
    <n v="0"/>
    <n v="0"/>
    <n v="0"/>
  </r>
  <r>
    <x v="4"/>
    <x v="9"/>
    <s v="Total distance CREW, VOLUNTEERS and SUPPLIERS by TRAIN"/>
    <s v="Indirect"/>
    <n v="0"/>
    <x v="5"/>
    <n v="1"/>
    <s v="Traveller-km"/>
    <n v="1"/>
    <s v="Traveller-km"/>
    <x v="29"/>
    <x v="17"/>
    <x v="3"/>
    <m/>
    <m/>
    <n v="0"/>
    <s v="kg CO2 / traveller-km"/>
    <b v="1"/>
    <n v="0"/>
    <n v="0"/>
    <n v="0"/>
    <n v="0"/>
    <n v="0"/>
  </r>
  <r>
    <x v="4"/>
    <x v="9"/>
    <s v="Total distance CREW, VOLUNTEERS and SUPPLIERS by AIRPLANE"/>
    <s v="Indirect"/>
    <n v="0"/>
    <x v="5"/>
    <n v="1"/>
    <s v="Traveller-km"/>
    <n v="1"/>
    <s v="Traveller-km"/>
    <x v="30"/>
    <x v="18"/>
    <x v="2"/>
    <m/>
    <m/>
    <n v="0.182"/>
    <s v="kg CO2 / traveller-km"/>
    <b v="1"/>
    <n v="0"/>
    <n v="0"/>
    <n v="0"/>
    <n v="0"/>
    <n v="0"/>
  </r>
  <r>
    <x v="4"/>
    <x v="9"/>
    <s v="Total distance CREW, VOLUNTEERS and SUPPLIERS by SHIP/FERRY"/>
    <s v="Indirect"/>
    <n v="0"/>
    <x v="5"/>
    <n v="1"/>
    <s v="Traveller-km"/>
    <n v="1"/>
    <s v="Traveller-km"/>
    <x v="31"/>
    <x v="19"/>
    <x v="2"/>
    <m/>
    <m/>
    <n v="1.8738000000000001E-2"/>
    <s v="kg CO2 / traveller-km"/>
    <b v="1"/>
    <n v="0"/>
    <n v="0"/>
    <n v="0"/>
    <n v="0"/>
    <n v="0"/>
  </r>
  <r>
    <x v="4"/>
    <x v="9"/>
    <s v="Total distance CREW, VOLUNTEERS and SUPPLIERS by SAILING, ELECTRIC or BIOFUEL SHIP/FERRY"/>
    <s v="Indirect"/>
    <n v="0"/>
    <x v="5"/>
    <n v="1"/>
    <s v="Traveller-km"/>
    <n v="1"/>
    <s v="Traveller-km"/>
    <x v="31"/>
    <x v="19"/>
    <x v="3"/>
    <m/>
    <m/>
    <n v="0"/>
    <s v="kg CO2 / traveller-km"/>
    <b v="1"/>
    <n v="0"/>
    <n v="0"/>
    <n v="0"/>
    <n v="0"/>
    <n v="0"/>
  </r>
  <r>
    <x v="4"/>
    <x v="9"/>
    <s v="Total distance CREW, VOLUNTEERS and SUPPLIERS by SHUTTLE on FOSSIL FUEL"/>
    <s v="Indirect"/>
    <n v="0"/>
    <x v="5"/>
    <n v="1"/>
    <s v="Traveller-km"/>
    <n v="1"/>
    <s v="Traveller-km"/>
    <x v="32"/>
    <x v="20"/>
    <x v="2"/>
    <m/>
    <m/>
    <n v="1.9E-2"/>
    <s v="kg CO2 / traveller-km"/>
    <b v="1"/>
    <n v="0"/>
    <n v="0"/>
    <n v="0"/>
    <n v="0"/>
    <n v="0"/>
  </r>
  <r>
    <x v="4"/>
    <x v="9"/>
    <s v="Total distance CREW, VOLUNTEERS and SUPPLIERS by SHUTTLE ELECTRIC or BIOFUEL"/>
    <s v="Indirect"/>
    <n v="0"/>
    <x v="5"/>
    <n v="1"/>
    <s v="Traveller-km"/>
    <n v="1"/>
    <s v="Traveller-km"/>
    <x v="32"/>
    <x v="20"/>
    <x v="3"/>
    <m/>
    <m/>
    <n v="0"/>
    <s v="kg CO2 / traveller-km"/>
    <b v="1"/>
    <n v="0"/>
    <n v="0"/>
    <n v="0"/>
    <n v="0"/>
    <n v="0"/>
  </r>
  <r>
    <x v="5"/>
    <x v="10"/>
    <s v="Internal transport - Renewable electricity"/>
    <s v="Direct"/>
    <n v="0"/>
    <x v="0"/>
    <n v="1"/>
    <s v="kWh"/>
    <n v="1"/>
    <s v="kWh"/>
    <x v="33"/>
    <x v="21"/>
    <x v="3"/>
    <m/>
    <m/>
    <n v="0"/>
    <s v="kg CO2 / kWh"/>
    <b v="1"/>
    <n v="0"/>
    <n v="0"/>
    <n v="0"/>
    <n v="0"/>
    <n v="0"/>
  </r>
  <r>
    <x v="5"/>
    <x v="10"/>
    <s v="Internal transport - Non-renewable electricity"/>
    <s v="Direct"/>
    <n v="0"/>
    <x v="0"/>
    <n v="1"/>
    <s v="kWh"/>
    <n v="1"/>
    <s v="kWh"/>
    <x v="33"/>
    <x v="21"/>
    <x v="2"/>
    <m/>
    <m/>
    <n v="0.38521996819553"/>
    <s v="kg CO2 / kWh"/>
    <b v="1"/>
    <n v="0"/>
    <n v="0"/>
    <n v="0"/>
    <n v="0"/>
    <n v="0"/>
  </r>
  <r>
    <x v="5"/>
    <x v="10"/>
    <s v="Internal transport - Sustainable biofuel (HVO-UCO/Tall B100)"/>
    <s v="Direct"/>
    <n v="0"/>
    <x v="1"/>
    <n v="1"/>
    <s v="litres"/>
    <n v="1"/>
    <s v="L"/>
    <x v="33"/>
    <x v="22"/>
    <x v="3"/>
    <m/>
    <m/>
    <n v="0.441"/>
    <s v="kg CO2-eq / L"/>
    <b v="1"/>
    <n v="0"/>
    <n v="0"/>
    <n v="0"/>
    <n v="0"/>
    <n v="0"/>
  </r>
  <r>
    <x v="5"/>
    <x v="10"/>
    <s v="Internal transport - Fossil diesel"/>
    <s v="Direct"/>
    <n v="0"/>
    <x v="1"/>
    <n v="1"/>
    <s v="litres"/>
    <n v="1"/>
    <s v="L"/>
    <x v="33"/>
    <x v="23"/>
    <x v="2"/>
    <m/>
    <m/>
    <n v="3.2509999999999999"/>
    <s v="kg CO2-eq / L"/>
    <b v="1"/>
    <n v="0"/>
    <n v="0"/>
    <n v="0"/>
    <n v="0"/>
    <n v="0"/>
  </r>
  <r>
    <x v="5"/>
    <x v="10"/>
    <s v="Internal transport - Fossil gasoline"/>
    <s v="Direct"/>
    <n v="0"/>
    <x v="1"/>
    <n v="1"/>
    <s v="litres"/>
    <n v="1"/>
    <s v="L"/>
    <x v="33"/>
    <x v="24"/>
    <x v="2"/>
    <m/>
    <m/>
    <n v="2.7970000000000002"/>
    <s v="kg CO2-eq / L"/>
    <b v="1"/>
    <n v="0"/>
    <n v="0"/>
    <n v="0"/>
    <n v="0"/>
    <n v="0"/>
  </r>
  <r>
    <x v="5"/>
    <x v="10"/>
    <s v="Internal transport - Biogas"/>
    <s v="Direct"/>
    <n v="0"/>
    <x v="2"/>
    <n v="1"/>
    <s v="kg"/>
    <n v="1"/>
    <s v="kg"/>
    <x v="33"/>
    <x v="25"/>
    <x v="3"/>
    <m/>
    <m/>
    <n v="0.79400000000000004"/>
    <s v="kg CO2-eq / kg"/>
    <b v="1"/>
    <n v="0"/>
    <n v="0"/>
    <n v="0"/>
    <n v="0"/>
    <n v="0"/>
  </r>
  <r>
    <x v="5"/>
    <x v="10"/>
    <s v="Internal transport - Fossil natural gas"/>
    <s v="Direct"/>
    <n v="0"/>
    <x v="2"/>
    <n v="1"/>
    <s v="kg"/>
    <n v="1"/>
    <s v="kg"/>
    <x v="33"/>
    <x v="26"/>
    <x v="2"/>
    <m/>
    <m/>
    <n v="2.831"/>
    <s v="kg CO2-eq / kg"/>
    <b v="1"/>
    <n v="0"/>
    <n v="0"/>
    <n v="0"/>
    <n v="0"/>
    <n v="0"/>
  </r>
  <r>
    <x v="5"/>
    <x v="11"/>
    <s v="Supplier transportation - Renewable electricity"/>
    <s v="Direct"/>
    <n v="0"/>
    <x v="0"/>
    <n v="1"/>
    <s v="kWh"/>
    <n v="1"/>
    <s v="kWh"/>
    <x v="34"/>
    <x v="21"/>
    <x v="3"/>
    <m/>
    <m/>
    <n v="0"/>
    <s v="kg CO2 / kWh"/>
    <b v="1"/>
    <n v="0"/>
    <n v="0"/>
    <n v="0"/>
    <n v="0"/>
    <n v="0"/>
  </r>
  <r>
    <x v="5"/>
    <x v="11"/>
    <s v="Supplier transportation - Non-renewable electricity"/>
    <s v="Direct"/>
    <n v="0"/>
    <x v="0"/>
    <n v="1"/>
    <s v="kWh"/>
    <n v="1"/>
    <s v="kWh"/>
    <x v="34"/>
    <x v="21"/>
    <x v="2"/>
    <m/>
    <m/>
    <n v="0.38521996819553"/>
    <s v="kg CO2 / kWh"/>
    <b v="1"/>
    <n v="0"/>
    <n v="0"/>
    <n v="0"/>
    <n v="0"/>
    <n v="0"/>
  </r>
  <r>
    <x v="5"/>
    <x v="11"/>
    <s v="Supplier transportation - Sustainable biofuel (HVO-UCO/Tall B100)"/>
    <s v="Direct"/>
    <n v="0"/>
    <x v="1"/>
    <n v="1"/>
    <s v="litres"/>
    <n v="1"/>
    <s v="L"/>
    <x v="34"/>
    <x v="22"/>
    <x v="3"/>
    <m/>
    <m/>
    <n v="0.441"/>
    <s v="kg CO2-eq / L"/>
    <b v="1"/>
    <n v="0"/>
    <n v="0"/>
    <n v="0"/>
    <n v="0"/>
    <n v="0"/>
  </r>
  <r>
    <x v="5"/>
    <x v="11"/>
    <s v="Supplier transportation - Fossil diesel"/>
    <s v="Direct"/>
    <n v="0"/>
    <x v="1"/>
    <n v="1"/>
    <s v="litres"/>
    <n v="1"/>
    <s v="L"/>
    <x v="34"/>
    <x v="23"/>
    <x v="2"/>
    <m/>
    <m/>
    <n v="3.2509999999999999"/>
    <s v="kg CO2-eq / L"/>
    <b v="1"/>
    <n v="0"/>
    <n v="0"/>
    <n v="0"/>
    <n v="0"/>
    <n v="0"/>
  </r>
  <r>
    <x v="5"/>
    <x v="11"/>
    <s v="Supplier transportation - Fossil gasoline"/>
    <s v="Direct"/>
    <n v="0"/>
    <x v="1"/>
    <n v="1"/>
    <s v="litres"/>
    <n v="1"/>
    <s v="L"/>
    <x v="34"/>
    <x v="24"/>
    <x v="2"/>
    <m/>
    <m/>
    <n v="2.7970000000000002"/>
    <s v="kg CO2-eq / L"/>
    <b v="1"/>
    <n v="0"/>
    <n v="0"/>
    <n v="0"/>
    <n v="0"/>
    <n v="0"/>
  </r>
  <r>
    <x v="5"/>
    <x v="11"/>
    <s v="Supplier transportation - Biogas"/>
    <s v="Direct"/>
    <n v="0"/>
    <x v="2"/>
    <n v="1"/>
    <s v="kg"/>
    <n v="1"/>
    <s v="kg"/>
    <x v="34"/>
    <x v="25"/>
    <x v="3"/>
    <m/>
    <m/>
    <n v="0.79400000000000004"/>
    <s v="kg CO2-eq / kg"/>
    <b v="1"/>
    <n v="0"/>
    <n v="0"/>
    <n v="0"/>
    <n v="0"/>
    <n v="0"/>
  </r>
  <r>
    <x v="5"/>
    <x v="11"/>
    <s v="Supplier transportation - Fossil natural gas"/>
    <s v="Direct"/>
    <n v="0"/>
    <x v="2"/>
    <n v="1"/>
    <s v="kg"/>
    <n v="1"/>
    <s v="kg"/>
    <x v="34"/>
    <x v="26"/>
    <x v="2"/>
    <m/>
    <m/>
    <n v="2.831"/>
    <s v="kg CO2-eq / kg"/>
    <b v="1"/>
    <n v="0"/>
    <n v="0"/>
    <n v="0"/>
    <n v="0"/>
    <n v="0"/>
  </r>
  <r>
    <x v="5"/>
    <x v="12"/>
    <s v="Fuel Replacement air travel &amp; transport"/>
    <s v="Direct"/>
    <n v="0"/>
    <x v="6"/>
    <n v="1"/>
    <s v="tonnes CO2e"/>
    <n v="1000"/>
    <s v="kg CO2-eq"/>
    <x v="35"/>
    <x v="27"/>
    <x v="8"/>
    <m/>
    <m/>
    <n v="-1"/>
    <s v="kg CO2-eq / kg CO2-eq"/>
    <b v="1"/>
    <m/>
    <m/>
    <n v="0"/>
    <n v="0"/>
    <n v="0"/>
  </r>
  <r>
    <x v="5"/>
    <x v="12"/>
    <s v="Fuel Replacement marine travel &amp; transport"/>
    <s v="Direct"/>
    <n v="0"/>
    <x v="6"/>
    <n v="1"/>
    <s v="tonnes CO2e"/>
    <n v="1000"/>
    <s v="kg CO2-eq"/>
    <x v="35"/>
    <x v="28"/>
    <x v="8"/>
    <m/>
    <m/>
    <n v="-1"/>
    <s v="kg CO2-eq / kg CO2-eq"/>
    <b v="1"/>
    <m/>
    <m/>
    <n v="0"/>
    <n v="0"/>
    <n v="0"/>
  </r>
  <r>
    <x v="5"/>
    <x v="12"/>
    <s v="Fuel Replacement road travel &amp; transport"/>
    <s v="Direct"/>
    <n v="0"/>
    <x v="6"/>
    <n v="1"/>
    <s v="tonnes CO2e"/>
    <n v="1000"/>
    <s v="kg CO2-eq"/>
    <x v="35"/>
    <x v="29"/>
    <x v="8"/>
    <m/>
    <m/>
    <n v="-1"/>
    <s v="kg CO2-eq / kg CO2-eq"/>
    <b v="1"/>
    <m/>
    <m/>
    <n v="0"/>
    <n v="0"/>
    <n v="0"/>
  </r>
  <r>
    <x v="6"/>
    <x v="13"/>
    <s v="Potable (drinking) water"/>
    <s v="Indirect"/>
    <n v="0"/>
    <x v="1"/>
    <n v="1"/>
    <s v="litres"/>
    <n v="1"/>
    <s v="L"/>
    <x v="36"/>
    <x v="30"/>
    <x v="8"/>
    <m/>
    <s v="ltr"/>
    <n v="3.22649188554013E-4"/>
    <s v="kg CO2-eq / L"/>
    <b v="1"/>
    <n v="0"/>
    <n v="0"/>
    <n v="0"/>
    <n v="0"/>
    <n v="0"/>
  </r>
  <r>
    <x v="6"/>
    <x v="13"/>
    <s v="Non-potable (non-drinking) water "/>
    <s v="Indirect"/>
    <n v="0"/>
    <x v="1"/>
    <n v="1"/>
    <s v="litres"/>
    <n v="1"/>
    <s v="L"/>
    <x v="36"/>
    <x v="31"/>
    <x v="8"/>
    <m/>
    <m/>
    <n v="0"/>
    <s v="kg CO2-eq / L"/>
    <b v="1"/>
    <n v="0"/>
    <n v="0"/>
    <n v="0"/>
    <n v="0"/>
    <n v="0"/>
  </r>
  <r>
    <x v="6"/>
    <x v="13"/>
    <s v="Water reused on-site"/>
    <s v="Indirect"/>
    <n v="0"/>
    <x v="1"/>
    <n v="1"/>
    <s v="litres"/>
    <n v="1"/>
    <s v="L"/>
    <x v="37"/>
    <x v="32"/>
    <x v="8"/>
    <m/>
    <m/>
    <n v="0"/>
    <s v="kg CO2-eq / L"/>
    <b v="1"/>
    <n v="0"/>
    <n v="0"/>
    <n v="0"/>
    <n v="0"/>
    <n v="0"/>
  </r>
  <r>
    <x v="6"/>
    <x v="14"/>
    <s v="Water cleaned (on-site) and released to environment"/>
    <s v="Indirect"/>
    <n v="0"/>
    <x v="1"/>
    <n v="1"/>
    <s v="litres"/>
    <n v="1"/>
    <s v="L"/>
    <x v="38"/>
    <x v="33"/>
    <x v="8"/>
    <m/>
    <m/>
    <n v="0"/>
    <s v="kg CO2-eq / L"/>
    <b v="1"/>
    <n v="0"/>
    <n v="0"/>
    <n v="0"/>
    <n v="0"/>
    <n v="0"/>
  </r>
  <r>
    <x v="6"/>
    <x v="14"/>
    <s v="Waste water removed from site (If unknown - leave blank (this will be deduced from total water use)"/>
    <s v="Indirect"/>
    <n v="0"/>
    <x v="1"/>
    <n v="1"/>
    <s v="litres"/>
    <n v="1"/>
    <s v="L"/>
    <x v="38"/>
    <x v="34"/>
    <x v="8"/>
    <m/>
    <m/>
    <n v="3.7985017414302199E-4"/>
    <s v="kg CO2-eq / L"/>
    <b v="1"/>
    <n v="0"/>
    <n v="0"/>
    <n v="0"/>
    <n v="0"/>
    <n v="0"/>
  </r>
  <r>
    <x v="7"/>
    <x v="15"/>
    <s v="Vegetables"/>
    <s v="Direct"/>
    <n v="0"/>
    <x v="2"/>
    <n v="1"/>
    <s v="kg"/>
    <n v="1"/>
    <s v="kg"/>
    <x v="39"/>
    <x v="32"/>
    <x v="8"/>
    <m/>
    <s v="kg"/>
    <n v="1.7339003357442857"/>
    <s v="kg CO2-eq / kg"/>
    <b v="1"/>
    <n v="0"/>
    <n v="0"/>
    <n v="0"/>
    <n v="0"/>
    <n v="0"/>
  </r>
  <r>
    <x v="7"/>
    <x v="15"/>
    <s v="Grains"/>
    <s v="Direct"/>
    <n v="0"/>
    <x v="2"/>
    <n v="1"/>
    <s v="kg"/>
    <n v="1"/>
    <s v="kg"/>
    <x v="40"/>
    <x v="32"/>
    <x v="8"/>
    <m/>
    <m/>
    <n v="0.35"/>
    <s v="kg CO2-eq / kg"/>
    <b v="1"/>
    <n v="0"/>
    <n v="0"/>
    <n v="0"/>
    <n v="0"/>
    <n v="0"/>
  </r>
  <r>
    <x v="7"/>
    <x v="15"/>
    <s v="Fruits"/>
    <s v="Direct"/>
    <n v="0"/>
    <x v="2"/>
    <n v="1"/>
    <s v="kg"/>
    <n v="1"/>
    <s v="kg"/>
    <x v="41"/>
    <x v="32"/>
    <x v="8"/>
    <m/>
    <m/>
    <n v="0.16447540243757511"/>
    <s v="kg CO2-eq / kg"/>
    <b v="1"/>
    <n v="0"/>
    <n v="0"/>
    <n v="0"/>
    <n v="0"/>
    <n v="0"/>
  </r>
  <r>
    <x v="7"/>
    <x v="15"/>
    <s v="Sauces"/>
    <s v="Direct"/>
    <n v="0"/>
    <x v="2"/>
    <n v="1"/>
    <s v="kg"/>
    <n v="1"/>
    <s v="kg"/>
    <x v="42"/>
    <x v="32"/>
    <x v="8"/>
    <m/>
    <m/>
    <n v="1.8004000000000002"/>
    <s v="kg CO2-eq / kg"/>
    <b v="1"/>
    <n v="0"/>
    <n v="0"/>
    <n v="0"/>
    <n v="0"/>
    <n v="0"/>
  </r>
  <r>
    <x v="7"/>
    <x v="15"/>
    <s v="Dairy"/>
    <s v="Direct"/>
    <n v="0"/>
    <x v="2"/>
    <n v="1"/>
    <s v="kg"/>
    <n v="1"/>
    <s v="kg"/>
    <x v="43"/>
    <x v="32"/>
    <x v="8"/>
    <m/>
    <m/>
    <n v="4.0242356546090301"/>
    <s v="kg CO2-eq / kg"/>
    <b v="1"/>
    <n v="0"/>
    <n v="0"/>
    <n v="0"/>
    <n v="0"/>
    <n v="0"/>
  </r>
  <r>
    <x v="7"/>
    <x v="15"/>
    <s v="Red meat"/>
    <s v="Direct"/>
    <n v="0"/>
    <x v="2"/>
    <n v="1"/>
    <s v="kg"/>
    <n v="1"/>
    <s v="kg"/>
    <x v="44"/>
    <x v="32"/>
    <x v="8"/>
    <m/>
    <m/>
    <n v="20.666666666666668"/>
    <s v="kg CO2-eq / kg"/>
    <b v="1"/>
    <n v="0"/>
    <n v="0"/>
    <n v="0"/>
    <n v="0"/>
    <n v="0"/>
  </r>
  <r>
    <x v="7"/>
    <x v="15"/>
    <s v="White meat"/>
    <s v="Direct"/>
    <n v="0"/>
    <x v="2"/>
    <n v="1"/>
    <s v="kg"/>
    <n v="1"/>
    <s v="kg"/>
    <x v="45"/>
    <x v="32"/>
    <x v="8"/>
    <m/>
    <m/>
    <n v="6"/>
    <s v="kg CO2-eq / kg"/>
    <b v="1"/>
    <n v="0"/>
    <n v="0"/>
    <n v="0"/>
    <n v="0"/>
    <n v="0"/>
  </r>
  <r>
    <x v="7"/>
    <x v="15"/>
    <s v="Seafood"/>
    <s v="Direct"/>
    <n v="0"/>
    <x v="2"/>
    <n v="1"/>
    <s v="kg"/>
    <n v="1"/>
    <s v="kg"/>
    <x v="46"/>
    <x v="32"/>
    <x v="8"/>
    <m/>
    <m/>
    <n v="5.5"/>
    <s v="kg CO2-eq / kg"/>
    <b v="1"/>
    <n v="0"/>
    <n v="0"/>
    <n v="0"/>
    <n v="0"/>
    <n v="0"/>
  </r>
  <r>
    <x v="7"/>
    <x v="15"/>
    <s v="Super high impact meals (average: 4 kg CO2 per meal)"/>
    <s v="Direct"/>
    <n v="0"/>
    <x v="7"/>
    <n v="1"/>
    <s v="meals"/>
    <n v="0.2"/>
    <s v="kg"/>
    <x v="47"/>
    <x v="35"/>
    <x v="8"/>
    <m/>
    <m/>
    <n v="20.029204"/>
    <s v="kg CO2-eq / kg"/>
    <b v="1"/>
    <n v="0"/>
    <n v="0"/>
    <n v="0"/>
    <n v="0"/>
    <n v="0"/>
  </r>
  <r>
    <x v="7"/>
    <x v="15"/>
    <s v="High impact meals (average: 1.5 kg CO2 per meal)"/>
    <s v="Direct"/>
    <n v="0"/>
    <x v="7"/>
    <n v="1"/>
    <s v="meals"/>
    <n v="0.2"/>
    <s v="kg"/>
    <x v="47"/>
    <x v="36"/>
    <x v="8"/>
    <m/>
    <m/>
    <n v="7.4792039999999975"/>
    <s v="kg CO2-eq / kg"/>
    <b v="1"/>
    <n v="0"/>
    <n v="0"/>
    <n v="0"/>
    <n v="0"/>
    <n v="0"/>
  </r>
  <r>
    <x v="7"/>
    <x v="15"/>
    <s v="Medium impact meals (average: 0.6 kg CO2 per meal)"/>
    <s v="Direct"/>
    <n v="0"/>
    <x v="7"/>
    <n v="1"/>
    <s v="meals"/>
    <n v="0.2"/>
    <s v="kg"/>
    <x v="47"/>
    <x v="37"/>
    <x v="8"/>
    <m/>
    <m/>
    <n v="3.006704"/>
    <s v="kg CO2-eq / kg"/>
    <b v="1"/>
    <n v="0"/>
    <n v="0"/>
    <n v="0"/>
    <n v="0"/>
    <n v="0"/>
  </r>
  <r>
    <x v="7"/>
    <x v="15"/>
    <s v="Low impact meals (average: 0.34 kg CO2 per meal)"/>
    <s v="Direct"/>
    <n v="0"/>
    <x v="7"/>
    <n v="1"/>
    <s v="meals"/>
    <n v="0.2"/>
    <s v="kg"/>
    <x v="47"/>
    <x v="38"/>
    <x v="8"/>
    <m/>
    <m/>
    <n v="1.6885691175105002"/>
    <s v="kg CO2-eq / kg"/>
    <b v="1"/>
    <n v="0"/>
    <n v="0"/>
    <n v="0"/>
    <n v="0"/>
    <n v="0"/>
  </r>
  <r>
    <x v="7"/>
    <x v="15"/>
    <s v="Ultra low impact meals (average: 0.16 kg CO2 per meal)"/>
    <s v="Direct"/>
    <n v="0"/>
    <x v="7"/>
    <n v="1"/>
    <s v="meals"/>
    <n v="0.2"/>
    <s v="kg"/>
    <x v="47"/>
    <x v="39"/>
    <x v="8"/>
    <m/>
    <m/>
    <n v="0.80920737180393776"/>
    <s v="kg CO2-eq / kg"/>
    <b v="1"/>
    <n v="0"/>
    <n v="0"/>
    <n v="0"/>
    <n v="0"/>
    <n v="0"/>
  </r>
  <r>
    <x v="8"/>
    <x v="16"/>
    <s v="Regular draft beer"/>
    <s v="Direct"/>
    <n v="0"/>
    <x v="1"/>
    <n v="1"/>
    <s v="litres"/>
    <n v="1"/>
    <s v="L"/>
    <x v="48"/>
    <x v="40"/>
    <x v="8"/>
    <m/>
    <s v="ltr"/>
    <n v="0.58700000000000008"/>
    <s v="kg CO2-eq / L"/>
    <b v="1"/>
    <n v="0"/>
    <n v="0"/>
    <n v="0"/>
    <n v="0"/>
    <n v="0"/>
  </r>
  <r>
    <x v="8"/>
    <x v="16"/>
    <s v="Low emission draft beer (between 0 and 0.32 kg CO2 per litre)"/>
    <s v="Direct"/>
    <n v="0"/>
    <x v="1"/>
    <n v="1"/>
    <s v="litres"/>
    <n v="1"/>
    <s v="L"/>
    <x v="48"/>
    <x v="41"/>
    <x v="8"/>
    <m/>
    <m/>
    <n v="0.29350000000000004"/>
    <s v="kg CO2-eq / L"/>
    <b v="1"/>
    <n v="0"/>
    <n v="0"/>
    <n v="0"/>
    <n v="0"/>
    <n v="0"/>
  </r>
  <r>
    <x v="8"/>
    <x v="16"/>
    <s v="Zero emission draft beer (net 0 kg CO2 per liter)"/>
    <s v="Direct"/>
    <n v="0"/>
    <x v="1"/>
    <n v="1"/>
    <s v="litres"/>
    <n v="1"/>
    <s v="L"/>
    <x v="48"/>
    <x v="42"/>
    <x v="8"/>
    <m/>
    <m/>
    <n v="0"/>
    <s v="kg CO2-eq / L"/>
    <b v="1"/>
    <n v="0"/>
    <n v="0"/>
    <n v="0"/>
    <n v="0"/>
    <n v="0"/>
  </r>
  <r>
    <x v="8"/>
    <x v="16"/>
    <s v="Regular craft beer"/>
    <s v="Direct"/>
    <n v="0"/>
    <x v="1"/>
    <n v="1"/>
    <s v="litres"/>
    <n v="1"/>
    <s v="L"/>
    <x v="49"/>
    <x v="40"/>
    <x v="8"/>
    <m/>
    <m/>
    <n v="0.58700000000000008"/>
    <s v="kg CO2-eq / L"/>
    <b v="1"/>
    <n v="0"/>
    <n v="0"/>
    <n v="0"/>
    <n v="0"/>
    <n v="0"/>
  </r>
  <r>
    <x v="8"/>
    <x v="16"/>
    <s v="Low emission craft beer (between 0 and 0.32 kg CO2 per litre)"/>
    <s v="Direct"/>
    <n v="0"/>
    <x v="1"/>
    <n v="1"/>
    <s v="litres"/>
    <n v="1"/>
    <s v="L"/>
    <x v="49"/>
    <x v="41"/>
    <x v="8"/>
    <m/>
    <m/>
    <n v="0.29350000000000004"/>
    <s v="kg CO2-eq / L"/>
    <b v="1"/>
    <n v="0"/>
    <n v="0"/>
    <n v="0"/>
    <n v="0"/>
    <n v="0"/>
  </r>
  <r>
    <x v="8"/>
    <x v="16"/>
    <s v="Zero emission craft beer (net 0 kg CO2 per litre)"/>
    <s v="Direct"/>
    <n v="0"/>
    <x v="1"/>
    <n v="1"/>
    <s v="litres"/>
    <n v="1"/>
    <s v="L"/>
    <x v="49"/>
    <x v="42"/>
    <x v="8"/>
    <m/>
    <m/>
    <n v="0"/>
    <s v="kg CO2-eq / L"/>
    <b v="1"/>
    <n v="0"/>
    <n v="0"/>
    <n v="0"/>
    <n v="0"/>
    <n v="0"/>
  </r>
  <r>
    <x v="8"/>
    <x v="16"/>
    <s v="Regular coffee"/>
    <s v="Direct"/>
    <n v="0"/>
    <x v="1"/>
    <n v="1"/>
    <s v="litres"/>
    <n v="1"/>
    <s v="L"/>
    <x v="50"/>
    <x v="40"/>
    <x v="8"/>
    <m/>
    <m/>
    <n v="0.93258136000000003"/>
    <s v="kg CO2-eq / L"/>
    <b v="1"/>
    <n v="0"/>
    <n v="0"/>
    <n v="0"/>
    <n v="0"/>
    <n v="0"/>
  </r>
  <r>
    <x v="8"/>
    <x v="16"/>
    <s v="Low emission coffee (between 0 and 0.47 kg CO2 per litre)"/>
    <s v="Direct"/>
    <n v="0"/>
    <x v="1"/>
    <n v="1"/>
    <s v="litres"/>
    <n v="1"/>
    <s v="L"/>
    <x v="50"/>
    <x v="41"/>
    <x v="8"/>
    <m/>
    <m/>
    <n v="0.46629068000000001"/>
    <s v="kg CO2-eq / L"/>
    <b v="1"/>
    <n v="0"/>
    <n v="0"/>
    <n v="0"/>
    <n v="0"/>
    <n v="0"/>
  </r>
  <r>
    <x v="8"/>
    <x v="16"/>
    <s v="Zero emission coffee (net 0 kg CO2 per litre)"/>
    <s v="Direct"/>
    <n v="0"/>
    <x v="1"/>
    <n v="1"/>
    <s v="litres"/>
    <n v="1"/>
    <s v="L"/>
    <x v="50"/>
    <x v="42"/>
    <x v="8"/>
    <m/>
    <m/>
    <n v="0"/>
    <s v="kg CO2-eq / L"/>
    <b v="1"/>
    <n v="0"/>
    <n v="0"/>
    <n v="0"/>
    <n v="0"/>
    <n v="0"/>
  </r>
  <r>
    <x v="8"/>
    <x v="16"/>
    <s v="Regular bottled water"/>
    <s v="Direct"/>
    <n v="0"/>
    <x v="1"/>
    <n v="1"/>
    <s v="litres"/>
    <n v="1"/>
    <s v="L"/>
    <x v="51"/>
    <x v="40"/>
    <x v="8"/>
    <m/>
    <m/>
    <n v="0.38666666666666666"/>
    <s v="kg CO2-eq / L"/>
    <b v="1"/>
    <n v="0"/>
    <n v="0"/>
    <n v="0"/>
    <n v="0"/>
    <n v="0"/>
  </r>
  <r>
    <x v="8"/>
    <x v="16"/>
    <s v="Low emission bottled water (between 0 and 0.16 kg CO2 per litre)"/>
    <s v="Direct"/>
    <n v="0"/>
    <x v="1"/>
    <n v="1"/>
    <s v="litres"/>
    <n v="1"/>
    <s v="L"/>
    <x v="51"/>
    <x v="41"/>
    <x v="8"/>
    <m/>
    <m/>
    <n v="0.19333333333333333"/>
    <s v="kg CO2-eq / L"/>
    <b v="1"/>
    <n v="0"/>
    <n v="0"/>
    <n v="0"/>
    <n v="0"/>
    <n v="0"/>
  </r>
  <r>
    <x v="8"/>
    <x v="16"/>
    <s v="Zero emission bottled water (net 0 kg CO2 per litre)"/>
    <s v="Direct"/>
    <n v="0"/>
    <x v="1"/>
    <n v="1"/>
    <s v="litres"/>
    <n v="1"/>
    <s v="L"/>
    <x v="51"/>
    <x v="42"/>
    <x v="8"/>
    <m/>
    <m/>
    <n v="0"/>
    <s v="kg CO2-eq / L"/>
    <b v="1"/>
    <n v="0"/>
    <n v="0"/>
    <n v="0"/>
    <n v="0"/>
    <n v="0"/>
  </r>
  <r>
    <x v="8"/>
    <x v="16"/>
    <s v="Regular soda / soft drinks from bottle / can"/>
    <s v="Direct"/>
    <n v="0"/>
    <x v="1"/>
    <n v="1"/>
    <s v="litres"/>
    <n v="1"/>
    <s v="L"/>
    <x v="52"/>
    <x v="40"/>
    <x v="8"/>
    <m/>
    <m/>
    <n v="0.38666666666666666"/>
    <s v="kg CO2-eq / L"/>
    <b v="1"/>
    <n v="0"/>
    <n v="0"/>
    <n v="0"/>
    <n v="0"/>
    <n v="0"/>
  </r>
  <r>
    <x v="8"/>
    <x v="16"/>
    <s v="Low emission soda / soft drinks from bottle / can (between 0 and 0.19 kg CO2 per litre)"/>
    <s v="Direct"/>
    <n v="0"/>
    <x v="1"/>
    <n v="1"/>
    <s v="litres"/>
    <n v="1"/>
    <s v="L"/>
    <x v="52"/>
    <x v="41"/>
    <x v="8"/>
    <m/>
    <m/>
    <n v="0.19333333333333333"/>
    <s v="kg CO2-eq / L"/>
    <b v="1"/>
    <n v="0"/>
    <n v="0"/>
    <n v="0"/>
    <n v="0"/>
    <n v="0"/>
  </r>
  <r>
    <x v="8"/>
    <x v="16"/>
    <s v="Zero emission soda / soft drinks from bottle / can (net 0 kg CO2 per litre)"/>
    <s v="Direct"/>
    <n v="0"/>
    <x v="1"/>
    <n v="1"/>
    <s v="litres"/>
    <n v="1"/>
    <s v="L"/>
    <x v="52"/>
    <x v="42"/>
    <x v="8"/>
    <m/>
    <m/>
    <n v="0"/>
    <s v="kg CO2-eq / L"/>
    <b v="1"/>
    <n v="0"/>
    <n v="0"/>
    <n v="0"/>
    <n v="0"/>
    <n v="0"/>
  </r>
  <r>
    <x v="8"/>
    <x v="16"/>
    <s v="Regular fruit juice"/>
    <s v="Direct"/>
    <n v="0"/>
    <x v="1"/>
    <n v="1"/>
    <s v="litres"/>
    <n v="1"/>
    <s v="L"/>
    <x v="53"/>
    <x v="40"/>
    <x v="8"/>
    <m/>
    <m/>
    <n v="2.038095238095238"/>
    <s v="kg CO2-eq / L"/>
    <b v="1"/>
    <n v="0"/>
    <n v="0"/>
    <n v="0"/>
    <n v="0"/>
    <n v="0"/>
  </r>
  <r>
    <x v="8"/>
    <x v="16"/>
    <s v="Low emission fruit juice (between 0 and 1.02 kg CO2 per litre)"/>
    <s v="Direct"/>
    <n v="0"/>
    <x v="1"/>
    <n v="1"/>
    <s v="litres"/>
    <n v="1"/>
    <s v="L"/>
    <x v="53"/>
    <x v="41"/>
    <x v="8"/>
    <m/>
    <m/>
    <n v="1.019047619047619"/>
    <s v="kg CO2-eq / L"/>
    <b v="1"/>
    <n v="0"/>
    <n v="0"/>
    <n v="0"/>
    <n v="0"/>
    <n v="0"/>
  </r>
  <r>
    <x v="8"/>
    <x v="16"/>
    <s v="Zero emission fruit juice (net 0 kg CO2 per litre)"/>
    <s v="Direct"/>
    <n v="0"/>
    <x v="1"/>
    <n v="1"/>
    <s v="litres"/>
    <n v="1"/>
    <s v="L"/>
    <x v="53"/>
    <x v="42"/>
    <x v="8"/>
    <m/>
    <m/>
    <n v="0"/>
    <s v="kg CO2-eq / L"/>
    <b v="1"/>
    <n v="0"/>
    <n v="0"/>
    <n v="0"/>
    <n v="0"/>
    <n v="0"/>
  </r>
  <r>
    <x v="8"/>
    <x v="16"/>
    <s v="Regular wine"/>
    <s v="Direct"/>
    <n v="0"/>
    <x v="1"/>
    <n v="1"/>
    <s v="litres"/>
    <n v="1"/>
    <s v="L"/>
    <x v="54"/>
    <x v="40"/>
    <x v="8"/>
    <m/>
    <m/>
    <n v="2.1866666666666665"/>
    <s v="kg CO2-eq / L"/>
    <b v="1"/>
    <n v="0"/>
    <n v="0"/>
    <n v="0"/>
    <n v="0"/>
    <n v="0"/>
  </r>
  <r>
    <x v="8"/>
    <x v="16"/>
    <s v="Low emission wine (between 0 and 1.41 kg CO2 per litre)"/>
    <s v="Direct"/>
    <n v="0"/>
    <x v="1"/>
    <n v="1"/>
    <s v="litres"/>
    <n v="1"/>
    <s v="L"/>
    <x v="54"/>
    <x v="41"/>
    <x v="8"/>
    <m/>
    <m/>
    <n v="1.0933333333333333"/>
    <s v="kg CO2-eq / L"/>
    <b v="1"/>
    <n v="0"/>
    <n v="0"/>
    <n v="0"/>
    <n v="0"/>
    <n v="0"/>
  </r>
  <r>
    <x v="8"/>
    <x v="16"/>
    <s v="Zero emission wine (net 0 kg CO2 per litre)"/>
    <s v="Direct"/>
    <n v="0"/>
    <x v="1"/>
    <n v="1"/>
    <s v="litres"/>
    <n v="1"/>
    <s v="L"/>
    <x v="54"/>
    <x v="42"/>
    <x v="8"/>
    <m/>
    <m/>
    <n v="0"/>
    <s v="kg CO2-eq / L"/>
    <b v="1"/>
    <n v="0"/>
    <n v="0"/>
    <n v="0"/>
    <n v="0"/>
    <n v="0"/>
  </r>
  <r>
    <x v="8"/>
    <x v="16"/>
    <s v="Regular dairy-based drink"/>
    <s v="Direct"/>
    <n v="0"/>
    <x v="1"/>
    <n v="1"/>
    <s v="litres"/>
    <n v="1"/>
    <s v="L"/>
    <x v="55"/>
    <x v="40"/>
    <x v="8"/>
    <m/>
    <m/>
    <n v="0.85077999999999998"/>
    <s v="kg CO2-eq / L"/>
    <b v="1"/>
    <n v="0"/>
    <n v="0"/>
    <n v="0"/>
    <n v="0"/>
    <n v="0"/>
  </r>
  <r>
    <x v="8"/>
    <x v="16"/>
    <s v="Low emission dairy-based drink (0.413 kg CO2 per litre)"/>
    <s v="Direct"/>
    <n v="0"/>
    <x v="1"/>
    <n v="1"/>
    <s v="litres"/>
    <n v="1"/>
    <s v="L"/>
    <x v="55"/>
    <x v="41"/>
    <x v="8"/>
    <m/>
    <m/>
    <n v="0.42538999999999999"/>
    <s v="kg CO2-eq / L"/>
    <b v="1"/>
    <n v="0"/>
    <n v="0"/>
    <n v="0"/>
    <n v="0"/>
    <n v="0"/>
  </r>
  <r>
    <x v="8"/>
    <x v="16"/>
    <s v="Zero emission dairy-based drink (net 0 kg CO2 per litre)"/>
    <s v="Direct"/>
    <n v="0"/>
    <x v="1"/>
    <n v="1"/>
    <s v="litres"/>
    <n v="1"/>
    <s v="L"/>
    <x v="55"/>
    <x v="42"/>
    <x v="8"/>
    <m/>
    <m/>
    <n v="0"/>
    <s v="kg CO2-eq / L"/>
    <b v="1"/>
    <n v="0"/>
    <n v="0"/>
    <n v="0"/>
    <n v="0"/>
    <n v="0"/>
  </r>
  <r>
    <x v="8"/>
    <x v="16"/>
    <s v="Regular mixed drinks"/>
    <s v="Direct"/>
    <n v="0"/>
    <x v="1"/>
    <n v="1"/>
    <s v="litres"/>
    <n v="1"/>
    <s v="L"/>
    <x v="56"/>
    <x v="40"/>
    <x v="8"/>
    <m/>
    <m/>
    <n v="1.0449204334375937"/>
    <s v="kg CO2-eq / L"/>
    <b v="1"/>
    <n v="0"/>
    <n v="0"/>
    <n v="0"/>
    <n v="0"/>
    <n v="0"/>
  </r>
  <r>
    <x v="8"/>
    <x v="16"/>
    <s v="Low emission mixed drinks (between 0 and 0.52 kg CO2 per litre)"/>
    <s v="Direct"/>
    <n v="0"/>
    <x v="1"/>
    <n v="1"/>
    <s v="litres"/>
    <n v="1"/>
    <s v="L"/>
    <x v="56"/>
    <x v="41"/>
    <x v="8"/>
    <m/>
    <m/>
    <n v="0.52246021671879683"/>
    <s v="kg CO2-eq / L"/>
    <b v="1"/>
    <n v="0"/>
    <n v="0"/>
    <n v="0"/>
    <n v="0"/>
    <n v="0"/>
  </r>
  <r>
    <x v="8"/>
    <x v="16"/>
    <s v="Zero emission mixed drinks (net 0 kg CO2 per litre)"/>
    <s v="Direct"/>
    <n v="0"/>
    <x v="1"/>
    <n v="1"/>
    <s v="litres"/>
    <n v="1"/>
    <s v="L"/>
    <x v="56"/>
    <x v="42"/>
    <x v="8"/>
    <m/>
    <m/>
    <n v="0"/>
    <s v="kg CO2-eq / L"/>
    <b v="1"/>
    <n v="0"/>
    <n v="0"/>
    <n v="0"/>
    <n v="0"/>
    <n v="0"/>
  </r>
  <r>
    <x v="8"/>
    <x v="16"/>
    <s v="Regular spirits"/>
    <s v="Direct"/>
    <n v="0"/>
    <x v="1"/>
    <n v="1"/>
    <s v="litres"/>
    <n v="1"/>
    <s v="L"/>
    <x v="57"/>
    <x v="40"/>
    <x v="8"/>
    <m/>
    <m/>
    <n v="3.6666666666666665"/>
    <s v="kg CO2-eq / L"/>
    <b v="1"/>
    <n v="0"/>
    <n v="0"/>
    <n v="0"/>
    <n v="0"/>
    <n v="0"/>
  </r>
  <r>
    <x v="8"/>
    <x v="16"/>
    <s v="Low emission spirits (between 0 and 1.83 kg CO2 per litre)"/>
    <s v="Direct"/>
    <n v="0"/>
    <x v="1"/>
    <n v="1"/>
    <s v="litres"/>
    <n v="1"/>
    <s v="L"/>
    <x v="57"/>
    <x v="41"/>
    <x v="8"/>
    <m/>
    <m/>
    <n v="1.8333333333333333"/>
    <s v="kg CO2-eq / L"/>
    <b v="1"/>
    <n v="0"/>
    <n v="0"/>
    <n v="0"/>
    <n v="0"/>
    <n v="0"/>
  </r>
  <r>
    <x v="8"/>
    <x v="16"/>
    <s v="Zero emission spirits (net 0 kg CO2 per litre)"/>
    <s v="Direct"/>
    <n v="0"/>
    <x v="1"/>
    <n v="1"/>
    <s v="litres"/>
    <n v="1"/>
    <s v="L"/>
    <x v="57"/>
    <x v="42"/>
    <x v="8"/>
    <m/>
    <m/>
    <n v="0"/>
    <s v="kg CO2-eq / L"/>
    <b v="1"/>
    <n v="0"/>
    <n v="0"/>
    <n v="0"/>
    <n v="0"/>
    <n v="0"/>
  </r>
  <r>
    <x v="8"/>
    <x v="16"/>
    <s v="Tea (Only one option; very low emission factor)"/>
    <s v="Direct"/>
    <n v="0"/>
    <x v="1"/>
    <n v="1"/>
    <s v="litres"/>
    <n v="1"/>
    <s v="L"/>
    <x v="58"/>
    <x v="32"/>
    <x v="8"/>
    <m/>
    <m/>
    <n v="1.2422649188554012E-2"/>
    <s v="kg CO2-eq / L"/>
    <b v="1"/>
    <n v="0"/>
    <n v="0"/>
    <n v="0"/>
    <n v="0"/>
    <n v="0"/>
  </r>
  <r>
    <x v="8"/>
    <x v="16"/>
    <s v="Tap water (as drinking water) (Only one option; very low emission factor)"/>
    <s v="Direct"/>
    <n v="0"/>
    <x v="1"/>
    <n v="1"/>
    <s v="litres"/>
    <n v="1"/>
    <s v="L"/>
    <x v="59"/>
    <x v="32"/>
    <x v="8"/>
    <m/>
    <m/>
    <n v="0.16"/>
    <s v="kg CO2-eq / L"/>
    <b v="1"/>
    <n v="0"/>
    <n v="0"/>
    <n v="0"/>
    <n v="0"/>
    <n v="0"/>
  </r>
  <r>
    <x v="8"/>
    <x v="16"/>
    <s v="Soda / soft drinks from tap water (Only one option; very low emission factor)"/>
    <s v="Direct"/>
    <n v="0"/>
    <x v="1"/>
    <n v="1"/>
    <s v="litres"/>
    <n v="1"/>
    <s v="L"/>
    <x v="60"/>
    <x v="32"/>
    <x v="8"/>
    <m/>
    <m/>
    <n v="0.04"/>
    <s v="kg CO2-eq / L"/>
    <b v="1"/>
    <n v="0"/>
    <n v="0"/>
    <n v="0"/>
    <n v="0"/>
    <n v="0"/>
  </r>
  <r>
    <x v="9"/>
    <x v="17"/>
    <s v="Overnight stays, festivals own campsites"/>
    <s v="Direct"/>
    <n v="0"/>
    <x v="8"/>
    <n v="1"/>
    <s v="stays"/>
    <n v="1"/>
    <s v="guest*night"/>
    <x v="61"/>
    <x v="32"/>
    <x v="8"/>
    <m/>
    <s v="stays"/>
    <n v="0"/>
    <s v="kg co2 / guest*night"/>
    <b v="1"/>
    <n v="0"/>
    <n v="0"/>
    <n v="0"/>
    <n v="0"/>
    <n v="0"/>
  </r>
  <r>
    <x v="9"/>
    <x v="18"/>
    <s v="Overnight stays, at external REGULAR campsites"/>
    <s v="Direct"/>
    <n v="0"/>
    <x v="8"/>
    <n v="1"/>
    <s v="stays"/>
    <n v="1"/>
    <s v="guest*night"/>
    <x v="62"/>
    <x v="43"/>
    <x v="8"/>
    <m/>
    <m/>
    <n v="0.99706664902147779"/>
    <s v="kg co2 / guest*night"/>
    <b v="1"/>
    <n v="0"/>
    <n v="0"/>
    <n v="0"/>
    <n v="0"/>
    <n v="0"/>
  </r>
  <r>
    <x v="9"/>
    <x v="18"/>
    <s v="Overnight stays, at external LOW EMISSION campsites (between 0 and 1 kg CO2 per guest per night)"/>
    <s v="Direct"/>
    <n v="0"/>
    <x v="8"/>
    <n v="1"/>
    <s v="stays"/>
    <n v="1"/>
    <s v="guest*night"/>
    <x v="62"/>
    <x v="41"/>
    <x v="8"/>
    <m/>
    <m/>
    <n v="0.4985333245107389"/>
    <s v="kg co2 / guest*night"/>
    <b v="1"/>
    <n v="0"/>
    <n v="0"/>
    <n v="0"/>
    <n v="0"/>
    <n v="0"/>
  </r>
  <r>
    <x v="9"/>
    <x v="18"/>
    <s v="Overnight stays, at external CLIMATE NEUTRAL campsites (net 0 kg CO2 per guest per night)"/>
    <s v="Direct"/>
    <n v="0"/>
    <x v="8"/>
    <n v="1"/>
    <s v="stays"/>
    <n v="1"/>
    <s v="guest*night"/>
    <x v="62"/>
    <x v="44"/>
    <x v="8"/>
    <m/>
    <m/>
    <n v="0"/>
    <s v="kg co2 / guest*night"/>
    <b v="1"/>
    <n v="0"/>
    <n v="0"/>
    <n v="0"/>
    <n v="0"/>
    <n v="0"/>
  </r>
  <r>
    <x v="9"/>
    <x v="18"/>
    <s v="Overnight stays, REGULAR hotels, holiday houses or apartments"/>
    <s v="Direct"/>
    <n v="0"/>
    <x v="8"/>
    <n v="1"/>
    <s v="stays"/>
    <n v="1"/>
    <s v="guest*night"/>
    <x v="63"/>
    <x v="43"/>
    <x v="8"/>
    <m/>
    <m/>
    <n v="5.6126399940970497"/>
    <s v="kg co2 / guest*night"/>
    <b v="1"/>
    <n v="0"/>
    <n v="0"/>
    <n v="0"/>
    <n v="0"/>
    <n v="0"/>
  </r>
  <r>
    <x v="9"/>
    <x v="18"/>
    <s v="Overnight stays, LOW EMISSION hotels, holiday houses or apartments (between 0 and 5 kg CO2 per guest per night)"/>
    <s v="Direct"/>
    <n v="0"/>
    <x v="8"/>
    <n v="1"/>
    <s v="stays"/>
    <n v="1"/>
    <s v="guest*night"/>
    <x v="63"/>
    <x v="41"/>
    <x v="8"/>
    <m/>
    <m/>
    <n v="2.8063199970485249"/>
    <s v="kg co2 / guest*night"/>
    <b v="1"/>
    <n v="0"/>
    <n v="0"/>
    <n v="0"/>
    <n v="0"/>
    <n v="0"/>
  </r>
  <r>
    <x v="9"/>
    <x v="18"/>
    <s v="Overnight stays, CLIMATE NEUTRAL hotels, holiday houses or apartments (net 0 kg CO2 per guest per night)"/>
    <s v="Direct"/>
    <n v="0"/>
    <x v="8"/>
    <n v="1"/>
    <s v="stays"/>
    <n v="1"/>
    <s v="guest*night"/>
    <x v="63"/>
    <x v="44"/>
    <x v="8"/>
    <m/>
    <m/>
    <n v="0"/>
    <s v="kg co2 / guest*night"/>
    <b v="1"/>
    <n v="0"/>
    <n v="0"/>
    <n v="0"/>
    <n v="0"/>
    <n v="0"/>
  </r>
  <r>
    <x v="10"/>
    <x v="19"/>
    <s v="Number of VIEWS OF MAIN FESTIVAL WEBSITE(s)"/>
    <s v="Direct"/>
    <n v="0"/>
    <x v="9"/>
    <n v="1"/>
    <s v="number of views"/>
    <n v="1"/>
    <s v="view"/>
    <x v="64"/>
    <x v="32"/>
    <x v="8"/>
    <m/>
    <s v="GB"/>
    <n v="0"/>
    <s v="kg CO2-eq / view"/>
    <b v="1"/>
    <n v="0"/>
    <n v="0"/>
    <n v="0"/>
    <n v="0"/>
    <n v="0"/>
  </r>
  <r>
    <x v="10"/>
    <x v="20"/>
    <s v="Number of EMAILS sent"/>
    <s v="Direct"/>
    <n v="0"/>
    <x v="10"/>
    <n v="1"/>
    <s v="nr emails sent"/>
    <n v="1"/>
    <s v="email"/>
    <x v="65"/>
    <x v="32"/>
    <x v="8"/>
    <m/>
    <s v="GB"/>
    <n v="4.0448096660530648E-6"/>
    <s v="kg CO2-eq / email"/>
    <b v="1"/>
    <n v="0"/>
    <n v="0"/>
    <n v="0"/>
    <n v="0"/>
    <n v="0"/>
  </r>
  <r>
    <x v="10"/>
    <x v="21"/>
    <s v="Number of APP SESSIONS"/>
    <s v="Direct"/>
    <n v="0"/>
    <x v="11"/>
    <n v="1"/>
    <s v="nr app sessions"/>
    <n v="1"/>
    <s v="app session"/>
    <x v="66"/>
    <x v="32"/>
    <x v="8"/>
    <m/>
    <s v="GB"/>
    <n v="8.08961933210613E-5"/>
    <s v="kg CO2-eq/ app session"/>
    <b v="1"/>
    <n v="0"/>
    <n v="0"/>
    <n v="0"/>
    <n v="0"/>
    <n v="0"/>
  </r>
  <r>
    <x v="10"/>
    <x v="22"/>
    <s v="Number of views on SOCIAL MEDIA"/>
    <s v="Direct"/>
    <n v="0"/>
    <x v="12"/>
    <n v="1"/>
    <s v="nr of views"/>
    <n v="1"/>
    <s v="view"/>
    <x v="67"/>
    <x v="32"/>
    <x v="8"/>
    <m/>
    <s v="GB"/>
    <n v="1.1145697746457335E-4"/>
    <s v="kg CO2-eq/ view"/>
    <b v="1"/>
    <n v="0"/>
    <n v="0"/>
    <n v="0"/>
    <n v="0"/>
    <n v="0"/>
  </r>
  <r>
    <x v="10"/>
    <x v="23"/>
    <s v="Amount of STORED DATA "/>
    <s v="Direct"/>
    <n v="0"/>
    <x v="13"/>
    <n v="1"/>
    <s v="GB"/>
    <n v="1"/>
    <s v="GB"/>
    <x v="68"/>
    <x v="32"/>
    <x v="8"/>
    <m/>
    <s v="GB"/>
    <n v="2.6965397773687099E-2"/>
    <s v="kg CO2 / GB"/>
    <b v="1"/>
    <n v="0"/>
    <n v="0"/>
    <n v="0"/>
    <n v="0"/>
    <n v="0"/>
  </r>
  <r>
    <x v="11"/>
    <x v="24"/>
    <s v="Carbon removal"/>
    <s v="Direct"/>
    <n v="0"/>
    <x v="6"/>
    <n v="1"/>
    <s v="tonnes CO2e"/>
    <n v="1000"/>
    <s v="kg CO2-eq"/>
    <x v="69"/>
    <x v="32"/>
    <x v="8"/>
    <m/>
    <m/>
    <n v="-1"/>
    <s v="kg CO2-eq / kg CO2-eq"/>
    <b v="1"/>
    <m/>
    <m/>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C39C1C3-6697-4551-9B05-B8D97B63ADC4}"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B102:C105" firstHeaderRow="1" firstDataRow="1" firstDataCol="1" rowPageCount="1" colPageCount="1"/>
  <pivotFields count="23">
    <pivotField axis="axisPage" showAll="0">
      <items count="16">
        <item x="10"/>
        <item x="0"/>
        <item m="1" x="12"/>
        <item x="3"/>
        <item x="1"/>
        <item x="9"/>
        <item m="1" x="13"/>
        <item x="5"/>
        <item x="4"/>
        <item m="1" x="14"/>
        <item x="6"/>
        <item x="7"/>
        <item x="8"/>
        <item x="11"/>
        <item x="2"/>
        <item t="default"/>
      </items>
    </pivotField>
    <pivotField showAll="0"/>
    <pivotField showAll="0"/>
    <pivotField showAll="0"/>
    <pivotField numFmtId="1" showAll="0"/>
    <pivotField showAll="0"/>
    <pivotField showAll="0"/>
    <pivotField showAll="0"/>
    <pivotField showAll="0"/>
    <pivotField showAll="0"/>
    <pivotField showAll="0"/>
    <pivotField axis="axisRow" showAll="0">
      <items count="56">
        <item x="22"/>
        <item x="25"/>
        <item x="44"/>
        <item x="23"/>
        <item m="1" x="52"/>
        <item m="1" x="50"/>
        <item m="1" x="51"/>
        <item x="36"/>
        <item x="38"/>
        <item x="41"/>
        <item x="37"/>
        <item x="26"/>
        <item m="1" x="49"/>
        <item m="1" x="47"/>
        <item x="7"/>
        <item x="40"/>
        <item x="43"/>
        <item m="1" x="48"/>
        <item x="11"/>
        <item x="35"/>
        <item m="1" x="46"/>
        <item x="39"/>
        <item x="6"/>
        <item m="1" x="54"/>
        <item x="8"/>
        <item x="42"/>
        <item m="1" x="53"/>
        <item x="9"/>
        <item x="30"/>
        <item x="31"/>
        <item x="33"/>
        <item x="34"/>
        <item m="1" x="45"/>
        <item x="0"/>
        <item x="1"/>
        <item x="2"/>
        <item x="3"/>
        <item x="4"/>
        <item x="5"/>
        <item x="12"/>
        <item x="13"/>
        <item x="14"/>
        <item x="15"/>
        <item x="16"/>
        <item x="17"/>
        <item x="18"/>
        <item x="19"/>
        <item x="20"/>
        <item x="21"/>
        <item x="24"/>
        <item x="27"/>
        <item x="28"/>
        <item x="29"/>
        <item x="32"/>
        <item x="10"/>
        <item t="default"/>
      </items>
    </pivotField>
    <pivotField showAll="0"/>
    <pivotField dataField="1" showAll="0"/>
    <pivotField showAll="0"/>
    <pivotField showAll="0"/>
    <pivotField showAll="0"/>
    <pivotField showAll="0"/>
    <pivotField numFmtId="175" showAll="0"/>
    <pivotField numFmtId="175" showAll="0"/>
    <pivotField numFmtId="175" showAll="0"/>
    <pivotField numFmtId="175" showAll="0"/>
    <pivotField numFmtId="175" showAll="0"/>
  </pivotFields>
  <rowFields count="1">
    <field x="11"/>
  </rowFields>
  <rowItems count="3">
    <i>
      <x v="18"/>
    </i>
    <i>
      <x v="27"/>
    </i>
    <i t="grand">
      <x/>
    </i>
  </rowItems>
  <colItems count="1">
    <i/>
  </colItems>
  <pageFields count="1">
    <pageField fld="0" item="3" hier="-1"/>
  </pageFields>
  <dataFields count="1">
    <dataField name="Sum of Value_AD_kg" fld="13" baseField="0" baseItem="0"/>
  </dataFields>
  <formats count="1">
    <format dxfId="28">
      <pivotArea outline="0" collapsedLevelsAreSubtotals="1" fieldPosition="0"/>
    </format>
  </formats>
  <chartFormats count="3">
    <chartFormat chart="1" format="4" series="1">
      <pivotArea type="data" outline="0" fieldPosition="0">
        <references count="1">
          <reference field="4294967294" count="1" selected="0">
            <x v="0"/>
          </reference>
        </references>
      </pivotArea>
    </chartFormat>
    <chartFormat chart="1" format="5">
      <pivotArea type="data" outline="0" fieldPosition="0">
        <references count="2">
          <reference field="4294967294" count="1" selected="0">
            <x v="0"/>
          </reference>
          <reference field="11" count="1" selected="0">
            <x v="27"/>
          </reference>
        </references>
      </pivotArea>
    </chartFormat>
    <chartFormat chart="1" format="6">
      <pivotArea type="data" outline="0" fieldPosition="0">
        <references count="2">
          <reference field="4294967294" count="1" selected="0">
            <x v="0"/>
          </reference>
          <reference field="11" count="1" selected="0">
            <x v="1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6322982-B1E1-476D-88C7-8A9A640B24F3}"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B130:O135" firstHeaderRow="1" firstDataRow="4" firstDataCol="1"/>
  <pivotFields count="23">
    <pivotField axis="axisRow" showAll="0" defaultSubtotal="0">
      <items count="15">
        <item x="0"/>
        <item h="1" x="1"/>
        <item h="1" x="3"/>
        <item h="1" m="1" x="12"/>
        <item h="1" m="1" x="13"/>
        <item h="1" x="5"/>
        <item h="1" x="4"/>
        <item h="1" m="1" x="14"/>
        <item h="1" x="6"/>
        <item h="1" x="7"/>
        <item h="1" x="8"/>
        <item h="1" x="11"/>
        <item h="1" x="9"/>
        <item h="1" x="10"/>
        <item h="1" x="2"/>
      </items>
    </pivotField>
    <pivotField showAll="0" defaultSubtotal="0">
      <items count="28">
        <item x="21"/>
        <item x="8"/>
        <item x="24"/>
        <item x="9"/>
        <item m="1" x="26"/>
        <item x="16"/>
        <item x="0"/>
        <item x="20"/>
        <item x="18"/>
        <item x="15"/>
        <item x="1"/>
        <item x="12"/>
        <item m="1" x="27"/>
        <item x="13"/>
        <item x="17"/>
        <item x="10"/>
        <item x="14"/>
        <item x="2"/>
        <item x="4"/>
        <item x="5"/>
        <item x="6"/>
        <item x="3"/>
        <item x="22"/>
        <item x="23"/>
        <item x="11"/>
        <item x="7"/>
        <item x="19"/>
        <item m="1" x="25"/>
      </items>
    </pivotField>
    <pivotField showAll="0" defaultSubtotal="0"/>
    <pivotField showAll="0" defaultSubtotal="0"/>
    <pivotField numFmtId="1" showAll="0" defaultSubtotal="0"/>
    <pivotField showAll="0" defaultSubtotal="0"/>
    <pivotField showAll="0" defaultSubtotal="0"/>
    <pivotField showAll="0" defaultSubtotal="0"/>
    <pivotField showAll="0" defaultSubtotal="0"/>
    <pivotField showAll="0" defaultSubtotal="0"/>
    <pivotField axis="axisCol" showAll="0" defaultSubtotal="0">
      <items count="95">
        <item x="8"/>
        <item x="6"/>
        <item x="13"/>
        <item x="11"/>
        <item x="22"/>
        <item x="21"/>
        <item x="15"/>
        <item x="17"/>
        <item x="19"/>
        <item x="20"/>
        <item x="14"/>
        <item x="16"/>
        <item x="18"/>
        <item x="23"/>
        <item m="1" x="89"/>
        <item m="1" x="91"/>
        <item m="1" x="90"/>
        <item m="1" x="92"/>
        <item m="1" x="94"/>
        <item m="1" x="93"/>
        <item x="7"/>
        <item x="12"/>
        <item x="10"/>
        <item x="9"/>
        <item m="1" x="81"/>
        <item m="1" x="71"/>
        <item m="1" x="72"/>
        <item m="1" x="73"/>
        <item m="1" x="74"/>
        <item m="1" x="75"/>
        <item m="1" x="76"/>
        <item x="24"/>
        <item x="25"/>
        <item x="26"/>
        <item x="27"/>
        <item x="28"/>
        <item x="29"/>
        <item x="30"/>
        <item x="31"/>
        <item x="32"/>
        <item x="0"/>
        <item x="2"/>
        <item x="1"/>
        <item m="1" x="70"/>
        <item x="5"/>
        <item x="4"/>
        <item m="1" x="85"/>
        <item m="1" x="86"/>
        <item m="1" x="87"/>
        <item m="1" x="88"/>
        <item m="1" x="82"/>
        <item m="1" x="83"/>
        <item m="1" x="84"/>
        <item m="1" x="77"/>
        <item m="1" x="78"/>
        <item x="37"/>
        <item m="1" x="79"/>
        <item m="1" x="80"/>
        <item x="39"/>
        <item x="40"/>
        <item x="41"/>
        <item x="42"/>
        <item x="43"/>
        <item x="44"/>
        <item x="45"/>
        <item x="46"/>
        <item x="47"/>
        <item x="48"/>
        <item x="49"/>
        <item x="50"/>
        <item x="51"/>
        <item x="52"/>
        <item x="53"/>
        <item x="54"/>
        <item x="56"/>
        <item x="58"/>
        <item x="59"/>
        <item x="60"/>
        <item x="61"/>
        <item x="62"/>
        <item x="63"/>
        <item x="64"/>
        <item x="65"/>
        <item x="66"/>
        <item x="67"/>
        <item x="68"/>
        <item x="35"/>
        <item x="69"/>
        <item x="36"/>
        <item x="38"/>
        <item x="3"/>
        <item x="33"/>
        <item x="34"/>
        <item x="55"/>
        <item x="57"/>
      </items>
    </pivotField>
    <pivotField axis="axisCol" showAll="0" defaultSubtotal="0">
      <items count="55">
        <item x="22"/>
        <item x="25"/>
        <item x="44"/>
        <item x="23"/>
        <item m="1" x="52"/>
        <item m="1" x="50"/>
        <item m="1" x="51"/>
        <item x="36"/>
        <item x="38"/>
        <item x="41"/>
        <item x="37"/>
        <item x="26"/>
        <item m="1" x="49"/>
        <item m="1" x="47"/>
        <item x="7"/>
        <item x="40"/>
        <item x="43"/>
        <item m="1" x="48"/>
        <item x="9"/>
        <item x="11"/>
        <item x="35"/>
        <item m="1" x="46"/>
        <item x="39"/>
        <item x="6"/>
        <item m="1" x="54"/>
        <item x="8"/>
        <item x="42"/>
        <item m="1" x="53"/>
        <item x="30"/>
        <item x="31"/>
        <item x="33"/>
        <item x="34"/>
        <item m="1" x="45"/>
        <item x="0"/>
        <item x="1"/>
        <item x="2"/>
        <item x="3"/>
        <item x="4"/>
        <item x="5"/>
        <item x="12"/>
        <item x="13"/>
        <item x="14"/>
        <item x="15"/>
        <item x="16"/>
        <item x="17"/>
        <item x="18"/>
        <item x="19"/>
        <item x="20"/>
        <item x="21"/>
        <item x="24"/>
        <item x="27"/>
        <item x="28"/>
        <item x="29"/>
        <item x="32"/>
        <item x="10"/>
      </items>
    </pivotField>
    <pivotField axis="axisCol" subtotalTop="0" showAll="0" defaultSubtotal="0">
      <items count="10">
        <item x="5"/>
        <item x="4"/>
        <item x="1"/>
        <item x="2"/>
        <item x="0"/>
        <item x="3"/>
        <item m="1" x="9"/>
        <item x="8"/>
        <item x="6"/>
        <item x="7"/>
      </items>
    </pivotField>
    <pivotField subtotalTop="0" showAll="0" defaultSubtotal="0"/>
    <pivotField subtotalTop="0" showAll="0" defaultSubtotal="0"/>
    <pivotField showAll="0" defaultSubtotal="0"/>
    <pivotField showAll="0" defaultSubtotal="0"/>
    <pivotField showAll="0" defaultSubtotal="0"/>
    <pivotField numFmtId="175" showAll="0" defaultSubtotal="0"/>
    <pivotField numFmtId="175" showAll="0" defaultSubtotal="0"/>
    <pivotField numFmtId="175" subtotalTop="0" showAll="0" defaultSubtotal="0"/>
    <pivotField dataField="1" numFmtId="175" subtotalTop="0" showAll="0" defaultSubtotal="0"/>
    <pivotField numFmtId="175" subtotalTop="0" showAll="0" defaultSubtotal="0"/>
  </pivotFields>
  <rowFields count="1">
    <field x="0"/>
  </rowFields>
  <rowItems count="2">
    <i>
      <x/>
    </i>
    <i t="grand">
      <x/>
    </i>
  </rowItems>
  <colFields count="3">
    <field x="10"/>
    <field x="11"/>
    <field x="12"/>
  </colFields>
  <colItems count="13">
    <i>
      <x v="40"/>
      <x v="33"/>
      <x v="2"/>
    </i>
    <i r="2">
      <x v="4"/>
    </i>
    <i r="1">
      <x v="34"/>
      <x v="4"/>
    </i>
    <i r="1">
      <x v="35"/>
      <x v="2"/>
    </i>
    <i r="2">
      <x v="4"/>
    </i>
    <i>
      <x v="41"/>
      <x v="36"/>
      <x v="5"/>
    </i>
    <i>
      <x v="42"/>
      <x v="36"/>
      <x v="3"/>
    </i>
    <i>
      <x v="44"/>
      <x v="38"/>
      <x v="3"/>
    </i>
    <i>
      <x v="45"/>
      <x v="33"/>
      <x v="3"/>
    </i>
    <i r="1">
      <x v="37"/>
      <x v="3"/>
    </i>
    <i>
      <x v="90"/>
      <x v="36"/>
      <x v="3"/>
    </i>
    <i r="2">
      <x v="5"/>
    </i>
    <i t="grand">
      <x/>
    </i>
  </colItems>
  <dataFields count="1">
    <dataField name="Sum of Results incl. comp. (kg CO2-eq" fld="21" baseField="0" baseItem="0" numFmtId="175"/>
  </dataFields>
  <chartFormats count="157">
    <chartFormat chart="1" format="470" series="1">
      <pivotArea type="data" outline="0" fieldPosition="0">
        <references count="2">
          <reference field="10" count="1" selected="0">
            <x v="40"/>
          </reference>
          <reference field="11" count="1" selected="0">
            <x v="13"/>
          </reference>
        </references>
      </pivotArea>
    </chartFormat>
    <chartFormat chart="1" format="471" series="1">
      <pivotArea type="data" outline="0" fieldPosition="0">
        <references count="2">
          <reference field="10" count="1" selected="0">
            <x v="40"/>
          </reference>
          <reference field="11" count="1" selected="0">
            <x v="21"/>
          </reference>
        </references>
      </pivotArea>
    </chartFormat>
    <chartFormat chart="1" format="472" series="1">
      <pivotArea type="data" outline="0" fieldPosition="0">
        <references count="2">
          <reference field="10" count="1" selected="0">
            <x v="41"/>
          </reference>
          <reference field="11" count="1" selected="0">
            <x v="21"/>
          </reference>
        </references>
      </pivotArea>
    </chartFormat>
    <chartFormat chart="1" format="473" series="1">
      <pivotArea type="data" outline="0" fieldPosition="0">
        <references count="2">
          <reference field="10" count="1" selected="0">
            <x v="42"/>
          </reference>
          <reference field="11" count="1" selected="0">
            <x v="13"/>
          </reference>
        </references>
      </pivotArea>
    </chartFormat>
    <chartFormat chart="1" format="474" series="1">
      <pivotArea type="data" outline="0" fieldPosition="0">
        <references count="2">
          <reference field="10" count="1" selected="0">
            <x v="43"/>
          </reference>
          <reference field="11" count="1" selected="0">
            <x v="13"/>
          </reference>
        </references>
      </pivotArea>
    </chartFormat>
    <chartFormat chart="1" format="475" series="1">
      <pivotArea type="data" outline="0" fieldPosition="0">
        <references count="2">
          <reference field="10" count="1" selected="0">
            <x v="44"/>
          </reference>
          <reference field="11" count="1" selected="0">
            <x v="13"/>
          </reference>
        </references>
      </pivotArea>
    </chartFormat>
    <chartFormat chart="1" format="476" series="1">
      <pivotArea type="data" outline="0" fieldPosition="0">
        <references count="2">
          <reference field="10" count="1" selected="0">
            <x v="44"/>
          </reference>
          <reference field="11" count="1" selected="0">
            <x v="21"/>
          </reference>
        </references>
      </pivotArea>
    </chartFormat>
    <chartFormat chart="1" format="477" series="1">
      <pivotArea type="data" outline="0" fieldPosition="0">
        <references count="2">
          <reference field="10" count="1" selected="0">
            <x v="45"/>
          </reference>
          <reference field="11" count="1" selected="0">
            <x v="13"/>
          </reference>
        </references>
      </pivotArea>
    </chartFormat>
    <chartFormat chart="1" format="582" series="1">
      <pivotArea type="data" outline="0" fieldPosition="0">
        <references count="3">
          <reference field="10" count="1" selected="0">
            <x v="40"/>
          </reference>
          <reference field="11" count="1" selected="0">
            <x v="33"/>
          </reference>
          <reference field="12" count="1" selected="0">
            <x v="2"/>
          </reference>
        </references>
      </pivotArea>
    </chartFormat>
    <chartFormat chart="1" format="583" series="1">
      <pivotArea type="data" outline="0" fieldPosition="0">
        <references count="3">
          <reference field="10" count="1" selected="0">
            <x v="40"/>
          </reference>
          <reference field="11" count="1" selected="0">
            <x v="33"/>
          </reference>
          <reference field="12" count="1" selected="0">
            <x v="4"/>
          </reference>
        </references>
      </pivotArea>
    </chartFormat>
    <chartFormat chart="1" format="584" series="1">
      <pivotArea type="data" outline="0" fieldPosition="0">
        <references count="3">
          <reference field="10" count="1" selected="0">
            <x v="40"/>
          </reference>
          <reference field="11" count="1" selected="0">
            <x v="34"/>
          </reference>
          <reference field="12" count="1" selected="0">
            <x v="4"/>
          </reference>
        </references>
      </pivotArea>
    </chartFormat>
    <chartFormat chart="1" format="585" series="1">
      <pivotArea type="data" outline="0" fieldPosition="0">
        <references count="3">
          <reference field="10" count="1" selected="0">
            <x v="40"/>
          </reference>
          <reference field="11" count="1" selected="0">
            <x v="35"/>
          </reference>
          <reference field="12" count="1" selected="0">
            <x v="2"/>
          </reference>
        </references>
      </pivotArea>
    </chartFormat>
    <chartFormat chart="1" format="586" series="1">
      <pivotArea type="data" outline="0" fieldPosition="0">
        <references count="3">
          <reference field="10" count="1" selected="0">
            <x v="40"/>
          </reference>
          <reference field="11" count="1" selected="0">
            <x v="35"/>
          </reference>
          <reference field="12" count="1" selected="0">
            <x v="4"/>
          </reference>
        </references>
      </pivotArea>
    </chartFormat>
    <chartFormat chart="1" format="587" series="1">
      <pivotArea type="data" outline="0" fieldPosition="0">
        <references count="3">
          <reference field="10" count="1" selected="0">
            <x v="41"/>
          </reference>
          <reference field="11" count="1" selected="0">
            <x v="36"/>
          </reference>
          <reference field="12" count="1" selected="0">
            <x v="5"/>
          </reference>
        </references>
      </pivotArea>
    </chartFormat>
    <chartFormat chart="1" format="588" series="1">
      <pivotArea type="data" outline="0" fieldPosition="0">
        <references count="3">
          <reference field="10" count="1" selected="0">
            <x v="42"/>
          </reference>
          <reference field="11" count="1" selected="0">
            <x v="36"/>
          </reference>
          <reference field="12" count="1" selected="0">
            <x v="3"/>
          </reference>
        </references>
      </pivotArea>
    </chartFormat>
    <chartFormat chart="1" format="589" series="1">
      <pivotArea type="data" outline="0" fieldPosition="0">
        <references count="3">
          <reference field="10" count="1" selected="0">
            <x v="44"/>
          </reference>
          <reference field="11" count="1" selected="0">
            <x v="38"/>
          </reference>
          <reference field="12" count="1" selected="0">
            <x v="3"/>
          </reference>
        </references>
      </pivotArea>
    </chartFormat>
    <chartFormat chart="1" format="590" series="1">
      <pivotArea type="data" outline="0" fieldPosition="0">
        <references count="3">
          <reference field="10" count="1" selected="0">
            <x v="45"/>
          </reference>
          <reference field="11" count="1" selected="0">
            <x v="33"/>
          </reference>
          <reference field="12" count="1" selected="0">
            <x v="3"/>
          </reference>
        </references>
      </pivotArea>
    </chartFormat>
    <chartFormat chart="1" format="591" series="1">
      <pivotArea type="data" outline="0" fieldPosition="0">
        <references count="3">
          <reference field="10" count="1" selected="0">
            <x v="45"/>
          </reference>
          <reference field="11" count="1" selected="0">
            <x v="37"/>
          </reference>
          <reference field="12" count="1" selected="0">
            <x v="3"/>
          </reference>
        </references>
      </pivotArea>
    </chartFormat>
    <chartFormat chart="1" format="592" series="1">
      <pivotArea type="data" outline="0" fieldPosition="0">
        <references count="3">
          <reference field="10" count="1" selected="0">
            <x v="90"/>
          </reference>
          <reference field="11" count="1" selected="0">
            <x v="36"/>
          </reference>
          <reference field="12" count="1" selected="0">
            <x v="3"/>
          </reference>
        </references>
      </pivotArea>
    </chartFormat>
    <chartFormat chart="1" format="593" series="1">
      <pivotArea type="data" outline="0" fieldPosition="0">
        <references count="3">
          <reference field="10" count="1" selected="0">
            <x v="90"/>
          </reference>
          <reference field="11" count="1" selected="0">
            <x v="36"/>
          </reference>
          <reference field="12" count="1" selected="0">
            <x v="5"/>
          </reference>
        </references>
      </pivotArea>
    </chartFormat>
    <chartFormat chart="1" format="594" series="1">
      <pivotArea type="data" outline="0" fieldPosition="0">
        <references count="4">
          <reference field="4294967294" count="1" selected="0">
            <x v="0"/>
          </reference>
          <reference field="10" count="1" selected="0">
            <x v="21"/>
          </reference>
          <reference field="11" count="1" selected="0">
            <x v="14"/>
          </reference>
          <reference field="12" count="1" selected="0">
            <x v="0"/>
          </reference>
        </references>
      </pivotArea>
    </chartFormat>
    <chartFormat chart="1" format="595" series="1">
      <pivotArea type="data" outline="0" fieldPosition="0">
        <references count="4">
          <reference field="4294967294" count="1" selected="0">
            <x v="0"/>
          </reference>
          <reference field="10" count="1" selected="0">
            <x v="21"/>
          </reference>
          <reference field="11" count="1" selected="0">
            <x v="23"/>
          </reference>
          <reference field="12" count="1" selected="0">
            <x v="1"/>
          </reference>
        </references>
      </pivotArea>
    </chartFormat>
    <chartFormat chart="1" format="596" series="1">
      <pivotArea type="data" outline="0" fieldPosition="0">
        <references count="4">
          <reference field="4294967294" count="1" selected="0">
            <x v="0"/>
          </reference>
          <reference field="10" count="1" selected="0">
            <x v="22"/>
          </reference>
          <reference field="11" count="1" selected="0">
            <x v="14"/>
          </reference>
          <reference field="12" count="1" selected="0">
            <x v="0"/>
          </reference>
        </references>
      </pivotArea>
    </chartFormat>
    <chartFormat chart="1" format="597" series="1">
      <pivotArea type="data" outline="0" fieldPosition="0">
        <references count="4">
          <reference field="4294967294" count="1" selected="0">
            <x v="0"/>
          </reference>
          <reference field="10" count="1" selected="0">
            <x v="22"/>
          </reference>
          <reference field="11" count="1" selected="0">
            <x v="23"/>
          </reference>
          <reference field="12" count="1" selected="0">
            <x v="1"/>
          </reference>
        </references>
      </pivotArea>
    </chartFormat>
    <chartFormat chart="1" format="598" series="1">
      <pivotArea type="data" outline="0" fieldPosition="0">
        <references count="4">
          <reference field="4294967294" count="1" selected="0">
            <x v="0"/>
          </reference>
          <reference field="10" count="1" selected="0">
            <x v="23"/>
          </reference>
          <reference field="11" count="1" selected="0">
            <x v="14"/>
          </reference>
          <reference field="12" count="1" selected="0">
            <x v="0"/>
          </reference>
        </references>
      </pivotArea>
    </chartFormat>
    <chartFormat chart="1" format="599" series="1">
      <pivotArea type="data" outline="0" fieldPosition="0">
        <references count="4">
          <reference field="4294967294" count="1" selected="0">
            <x v="0"/>
          </reference>
          <reference field="10" count="1" selected="0">
            <x v="23"/>
          </reference>
          <reference field="11" count="1" selected="0">
            <x v="25"/>
          </reference>
          <reference field="12" count="1" selected="0">
            <x v="0"/>
          </reference>
        </references>
      </pivotArea>
    </chartFormat>
    <chartFormat chart="1" format="600" series="1">
      <pivotArea type="data" outline="0" fieldPosition="0">
        <references count="4">
          <reference field="4294967294" count="1" selected="0">
            <x v="0"/>
          </reference>
          <reference field="10" count="1" selected="0">
            <x v="0"/>
          </reference>
          <reference field="11" count="1" selected="0">
            <x v="14"/>
          </reference>
          <reference field="12" count="1" selected="0">
            <x v="0"/>
          </reference>
        </references>
      </pivotArea>
    </chartFormat>
    <chartFormat chart="1" format="601" series="1">
      <pivotArea type="data" outline="0" fieldPosition="0">
        <references count="4">
          <reference field="4294967294" count="1" selected="0">
            <x v="0"/>
          </reference>
          <reference field="10" count="1" selected="0">
            <x v="0"/>
          </reference>
          <reference field="11" count="1" selected="0">
            <x v="23"/>
          </reference>
          <reference field="12" count="1" selected="0">
            <x v="1"/>
          </reference>
        </references>
      </pivotArea>
    </chartFormat>
    <chartFormat chart="1" format="602" series="1">
      <pivotArea type="data" outline="0" fieldPosition="0">
        <references count="4">
          <reference field="4294967294" count="1" selected="0">
            <x v="0"/>
          </reference>
          <reference field="10" count="1" selected="0">
            <x v="1"/>
          </reference>
          <reference field="11" count="1" selected="0">
            <x v="14"/>
          </reference>
          <reference field="12" count="1" selected="0">
            <x v="0"/>
          </reference>
        </references>
      </pivotArea>
    </chartFormat>
    <chartFormat chart="1" format="603" series="1">
      <pivotArea type="data" outline="0" fieldPosition="0">
        <references count="4">
          <reference field="4294967294" count="1" selected="0">
            <x v="0"/>
          </reference>
          <reference field="10" count="1" selected="0">
            <x v="1"/>
          </reference>
          <reference field="11" count="1" selected="0">
            <x v="23"/>
          </reference>
          <reference field="12" count="1" selected="0">
            <x v="1"/>
          </reference>
        </references>
      </pivotArea>
    </chartFormat>
    <chartFormat chart="1" format="604" series="1">
      <pivotArea type="data" outline="0" fieldPosition="0">
        <references count="4">
          <reference field="4294967294" count="1" selected="0">
            <x v="0"/>
          </reference>
          <reference field="10" count="1" selected="0">
            <x v="2"/>
          </reference>
          <reference field="11" count="1" selected="0">
            <x v="14"/>
          </reference>
          <reference field="12" count="1" selected="0">
            <x v="0"/>
          </reference>
        </references>
      </pivotArea>
    </chartFormat>
    <chartFormat chart="1" format="605" series="1">
      <pivotArea type="data" outline="0" fieldPosition="0">
        <references count="4">
          <reference field="4294967294" count="1" selected="0">
            <x v="0"/>
          </reference>
          <reference field="10" count="1" selected="0">
            <x v="2"/>
          </reference>
          <reference field="11" count="1" selected="0">
            <x v="25"/>
          </reference>
          <reference field="12" count="1" selected="0">
            <x v="0"/>
          </reference>
        </references>
      </pivotArea>
    </chartFormat>
    <chartFormat chart="1" format="606" series="1">
      <pivotArea type="data" outline="0" fieldPosition="0">
        <references count="4">
          <reference field="4294967294" count="1" selected="0">
            <x v="0"/>
          </reference>
          <reference field="10" count="1" selected="0">
            <x v="3"/>
          </reference>
          <reference field="11" count="1" selected="0">
            <x v="14"/>
          </reference>
          <reference field="12" count="1" selected="0">
            <x v="0"/>
          </reference>
        </references>
      </pivotArea>
    </chartFormat>
    <chartFormat chart="1" format="607" series="1">
      <pivotArea type="data" outline="0" fieldPosition="0">
        <references count="4">
          <reference field="4294967294" count="1" selected="0">
            <x v="0"/>
          </reference>
          <reference field="10" count="1" selected="0">
            <x v="3"/>
          </reference>
          <reference field="11" count="1" selected="0">
            <x v="25"/>
          </reference>
          <reference field="12" count="1" selected="0">
            <x v="0"/>
          </reference>
        </references>
      </pivotArea>
    </chartFormat>
    <chartFormat chart="1" format="608" series="1">
      <pivotArea type="data" outline="0" fieldPosition="0">
        <references count="4">
          <reference field="4294967294" count="1" selected="0">
            <x v="0"/>
          </reference>
          <reference field="10" count="1" selected="0">
            <x v="10"/>
          </reference>
          <reference field="11" count="1" selected="0">
            <x v="14"/>
          </reference>
          <reference field="12" count="1" selected="0">
            <x v="0"/>
          </reference>
        </references>
      </pivotArea>
    </chartFormat>
    <chartFormat chart="1" format="609" series="1">
      <pivotArea type="data" outline="0" fieldPosition="0">
        <references count="4">
          <reference field="4294967294" count="1" selected="0">
            <x v="0"/>
          </reference>
          <reference field="10" count="1" selected="0">
            <x v="10"/>
          </reference>
          <reference field="11" count="1" selected="0">
            <x v="25"/>
          </reference>
          <reference field="12" count="1" selected="0">
            <x v="0"/>
          </reference>
        </references>
      </pivotArea>
    </chartFormat>
    <chartFormat chart="1" format="610" series="1">
      <pivotArea type="data" outline="0" fieldPosition="0">
        <references count="4">
          <reference field="4294967294" count="1" selected="0">
            <x v="0"/>
          </reference>
          <reference field="10" count="1" selected="0">
            <x v="20"/>
          </reference>
          <reference field="11" count="1" selected="0">
            <x v="14"/>
          </reference>
          <reference field="12" count="1" selected="0">
            <x v="0"/>
          </reference>
        </references>
      </pivotArea>
    </chartFormat>
    <chartFormat chart="1" format="611" series="1">
      <pivotArea type="data" outline="0" fieldPosition="0">
        <references count="4">
          <reference field="4294967294" count="1" selected="0">
            <x v="0"/>
          </reference>
          <reference field="10" count="1" selected="0">
            <x v="20"/>
          </reference>
          <reference field="11" count="1" selected="0">
            <x v="23"/>
          </reference>
          <reference field="12" count="1" selected="0">
            <x v="1"/>
          </reference>
        </references>
      </pivotArea>
    </chartFormat>
    <chartFormat chart="1" format="612" series="1">
      <pivotArea type="data" outline="0" fieldPosition="0">
        <references count="4">
          <reference field="4294967294" count="1" selected="0">
            <x v="0"/>
          </reference>
          <reference field="10" count="1" selected="0">
            <x v="1"/>
          </reference>
          <reference field="11" count="1" selected="0">
            <x v="19"/>
          </reference>
          <reference field="12" count="1" selected="0">
            <x v="0"/>
          </reference>
        </references>
      </pivotArea>
    </chartFormat>
    <chartFormat chart="1" format="613" series="1">
      <pivotArea type="data" outline="0" fieldPosition="0">
        <references count="4">
          <reference field="4294967294" count="1" selected="0">
            <x v="0"/>
          </reference>
          <reference field="10" count="1" selected="0">
            <x v="4"/>
          </reference>
          <reference field="11" count="1" selected="0">
            <x v="19"/>
          </reference>
          <reference field="12" count="1" selected="0">
            <x v="0"/>
          </reference>
        </references>
      </pivotArea>
    </chartFormat>
    <chartFormat chart="1" format="614" series="1">
      <pivotArea type="data" outline="0" fieldPosition="0">
        <references count="4">
          <reference field="4294967294" count="1" selected="0">
            <x v="0"/>
          </reference>
          <reference field="10" count="1" selected="0">
            <x v="5"/>
          </reference>
          <reference field="11" count="1" selected="0">
            <x v="19"/>
          </reference>
          <reference field="12" count="1" selected="0">
            <x v="0"/>
          </reference>
        </references>
      </pivotArea>
    </chartFormat>
    <chartFormat chart="1" format="615" series="1">
      <pivotArea type="data" outline="0" fieldPosition="0">
        <references count="4">
          <reference field="4294967294" count="1" selected="0">
            <x v="0"/>
          </reference>
          <reference field="10" count="1" selected="0">
            <x v="6"/>
          </reference>
          <reference field="11" count="1" selected="0">
            <x v="18"/>
          </reference>
          <reference field="12" count="1" selected="0">
            <x v="1"/>
          </reference>
        </references>
      </pivotArea>
    </chartFormat>
    <chartFormat chart="1" format="616" series="1">
      <pivotArea type="data" outline="0" fieldPosition="0">
        <references count="4">
          <reference field="4294967294" count="1" selected="0">
            <x v="0"/>
          </reference>
          <reference field="10" count="1" selected="0">
            <x v="6"/>
          </reference>
          <reference field="11" count="1" selected="0">
            <x v="19"/>
          </reference>
          <reference field="12" count="1" selected="0">
            <x v="0"/>
          </reference>
        </references>
      </pivotArea>
    </chartFormat>
    <chartFormat chart="1" format="617" series="1">
      <pivotArea type="data" outline="0" fieldPosition="0">
        <references count="4">
          <reference field="4294967294" count="1" selected="0">
            <x v="0"/>
          </reference>
          <reference field="10" count="1" selected="0">
            <x v="7"/>
          </reference>
          <reference field="11" count="1" selected="0">
            <x v="19"/>
          </reference>
          <reference field="12" count="1" selected="0">
            <x v="0"/>
          </reference>
        </references>
      </pivotArea>
    </chartFormat>
    <chartFormat chart="1" format="618" series="1">
      <pivotArea type="data" outline="0" fieldPosition="0">
        <references count="4">
          <reference field="4294967294" count="1" selected="0">
            <x v="0"/>
          </reference>
          <reference field="10" count="1" selected="0">
            <x v="8"/>
          </reference>
          <reference field="11" count="1" selected="0">
            <x v="19"/>
          </reference>
          <reference field="12" count="1" selected="0">
            <x v="0"/>
          </reference>
        </references>
      </pivotArea>
    </chartFormat>
    <chartFormat chart="1" format="619" series="1">
      <pivotArea type="data" outline="0" fieldPosition="0">
        <references count="4">
          <reference field="4294967294" count="1" selected="0">
            <x v="0"/>
          </reference>
          <reference field="10" count="1" selected="0">
            <x v="9"/>
          </reference>
          <reference field="11" count="1" selected="0">
            <x v="19"/>
          </reference>
          <reference field="12" count="1" selected="0">
            <x v="0"/>
          </reference>
        </references>
      </pivotArea>
    </chartFormat>
    <chartFormat chart="1" format="620" series="1">
      <pivotArea type="data" outline="0" fieldPosition="0">
        <references count="4">
          <reference field="4294967294" count="1" selected="0">
            <x v="0"/>
          </reference>
          <reference field="10" count="1" selected="0">
            <x v="11"/>
          </reference>
          <reference field="11" count="1" selected="0">
            <x v="19"/>
          </reference>
          <reference field="12" count="1" selected="0">
            <x v="0"/>
          </reference>
        </references>
      </pivotArea>
    </chartFormat>
    <chartFormat chart="1" format="621" series="1">
      <pivotArea type="data" outline="0" fieldPosition="0">
        <references count="4">
          <reference field="4294967294" count="1" selected="0">
            <x v="0"/>
          </reference>
          <reference field="10" count="1" selected="0">
            <x v="12"/>
          </reference>
          <reference field="11" count="1" selected="0">
            <x v="19"/>
          </reference>
          <reference field="12" count="1" selected="0">
            <x v="0"/>
          </reference>
        </references>
      </pivotArea>
    </chartFormat>
    <chartFormat chart="1" format="622" series="1">
      <pivotArea type="data" outline="0" fieldPosition="0">
        <references count="4">
          <reference field="4294967294" count="1" selected="0">
            <x v="0"/>
          </reference>
          <reference field="10" count="1" selected="0">
            <x v="13"/>
          </reference>
          <reference field="11" count="1" selected="0">
            <x v="18"/>
          </reference>
          <reference field="12" count="1" selected="0">
            <x v="1"/>
          </reference>
        </references>
      </pivotArea>
    </chartFormat>
    <chartFormat chart="1" format="623" series="1">
      <pivotArea type="data" outline="0" fieldPosition="0">
        <references count="4">
          <reference field="4294967294" count="1" selected="0">
            <x v="0"/>
          </reference>
          <reference field="10" count="1" selected="0">
            <x v="23"/>
          </reference>
          <reference field="11" count="1" selected="0">
            <x v="19"/>
          </reference>
          <reference field="12" count="1" selected="0">
            <x v="0"/>
          </reference>
        </references>
      </pivotArea>
    </chartFormat>
    <chartFormat chart="1" format="624" series="1">
      <pivotArea type="data" outline="0" fieldPosition="0">
        <references count="4">
          <reference field="4294967294" count="1" selected="0">
            <x v="0"/>
          </reference>
          <reference field="10" count="1" selected="0">
            <x v="39"/>
          </reference>
          <reference field="11" count="1" selected="0">
            <x v="47"/>
          </reference>
          <reference field="12" count="1" selected="0">
            <x v="3"/>
          </reference>
        </references>
      </pivotArea>
    </chartFormat>
    <chartFormat chart="1" format="625" series="1">
      <pivotArea type="data" outline="0" fieldPosition="0">
        <references count="4">
          <reference field="4294967294" count="1" selected="0">
            <x v="0"/>
          </reference>
          <reference field="10" count="1" selected="0">
            <x v="39"/>
          </reference>
          <reference field="11" count="1" selected="0">
            <x v="47"/>
          </reference>
          <reference field="12" count="1" selected="0">
            <x v="5"/>
          </reference>
        </references>
      </pivotArea>
    </chartFormat>
    <chartFormat chart="1" format="626" series="1">
      <pivotArea type="data" outline="0" fieldPosition="0">
        <references count="4">
          <reference field="4294967294" count="1" selected="0">
            <x v="0"/>
          </reference>
          <reference field="10" count="1" selected="0">
            <x v="31"/>
          </reference>
          <reference field="11" count="1" selected="0">
            <x v="39"/>
          </reference>
          <reference field="12" count="1" selected="0">
            <x v="5"/>
          </reference>
        </references>
      </pivotArea>
    </chartFormat>
    <chartFormat chart="1" format="627" series="1">
      <pivotArea type="data" outline="0" fieldPosition="0">
        <references count="4">
          <reference field="4294967294" count="1" selected="0">
            <x v="0"/>
          </reference>
          <reference field="10" count="1" selected="0">
            <x v="32"/>
          </reference>
          <reference field="11" count="1" selected="0">
            <x v="40"/>
          </reference>
          <reference field="12" count="1" selected="0">
            <x v="5"/>
          </reference>
        </references>
      </pivotArea>
    </chartFormat>
    <chartFormat chart="1" format="628" series="1">
      <pivotArea type="data" outline="0" fieldPosition="0">
        <references count="4">
          <reference field="4294967294" count="1" selected="0">
            <x v="0"/>
          </reference>
          <reference field="10" count="1" selected="0">
            <x v="33"/>
          </reference>
          <reference field="11" count="1" selected="0">
            <x v="41"/>
          </reference>
          <reference field="12" count="1" selected="0">
            <x v="3"/>
          </reference>
        </references>
      </pivotArea>
    </chartFormat>
    <chartFormat chart="1" format="629" series="1">
      <pivotArea type="data" outline="0" fieldPosition="0">
        <references count="4">
          <reference field="4294967294" count="1" selected="0">
            <x v="0"/>
          </reference>
          <reference field="10" count="1" selected="0">
            <x v="33"/>
          </reference>
          <reference field="11" count="1" selected="0">
            <x v="41"/>
          </reference>
          <reference field="12" count="1" selected="0">
            <x v="5"/>
          </reference>
        </references>
      </pivotArea>
    </chartFormat>
    <chartFormat chart="1" format="630" series="1">
      <pivotArea type="data" outline="0" fieldPosition="0">
        <references count="4">
          <reference field="4294967294" count="1" selected="0">
            <x v="0"/>
          </reference>
          <reference field="10" count="1" selected="0">
            <x v="34"/>
          </reference>
          <reference field="11" count="1" selected="0">
            <x v="42"/>
          </reference>
          <reference field="12" count="1" selected="0">
            <x v="3"/>
          </reference>
        </references>
      </pivotArea>
    </chartFormat>
    <chartFormat chart="1" format="631" series="1">
      <pivotArea type="data" outline="0" fieldPosition="0">
        <references count="4">
          <reference field="4294967294" count="1" selected="0">
            <x v="0"/>
          </reference>
          <reference field="10" count="1" selected="0">
            <x v="34"/>
          </reference>
          <reference field="11" count="1" selected="0">
            <x v="42"/>
          </reference>
          <reference field="12" count="1" selected="0">
            <x v="5"/>
          </reference>
        </references>
      </pivotArea>
    </chartFormat>
    <chartFormat chart="1" format="632" series="1">
      <pivotArea type="data" outline="0" fieldPosition="0">
        <references count="4">
          <reference field="4294967294" count="1" selected="0">
            <x v="0"/>
          </reference>
          <reference field="10" count="1" selected="0">
            <x v="35"/>
          </reference>
          <reference field="11" count="1" selected="0">
            <x v="43"/>
          </reference>
          <reference field="12" count="1" selected="0">
            <x v="3"/>
          </reference>
        </references>
      </pivotArea>
    </chartFormat>
    <chartFormat chart="1" format="633" series="1">
      <pivotArea type="data" outline="0" fieldPosition="0">
        <references count="4">
          <reference field="4294967294" count="1" selected="0">
            <x v="0"/>
          </reference>
          <reference field="10" count="1" selected="0">
            <x v="35"/>
          </reference>
          <reference field="11" count="1" selected="0">
            <x v="43"/>
          </reference>
          <reference field="12" count="1" selected="0">
            <x v="5"/>
          </reference>
        </references>
      </pivotArea>
    </chartFormat>
    <chartFormat chart="1" format="634" series="1">
      <pivotArea type="data" outline="0" fieldPosition="0">
        <references count="4">
          <reference field="4294967294" count="1" selected="0">
            <x v="0"/>
          </reference>
          <reference field="10" count="1" selected="0">
            <x v="36"/>
          </reference>
          <reference field="11" count="1" selected="0">
            <x v="44"/>
          </reference>
          <reference field="12" count="1" selected="0">
            <x v="5"/>
          </reference>
        </references>
      </pivotArea>
    </chartFormat>
    <chartFormat chart="1" format="635" series="1">
      <pivotArea type="data" outline="0" fieldPosition="0">
        <references count="4">
          <reference field="4294967294" count="1" selected="0">
            <x v="0"/>
          </reference>
          <reference field="10" count="1" selected="0">
            <x v="37"/>
          </reference>
          <reference field="11" count="1" selected="0">
            <x v="45"/>
          </reference>
          <reference field="12" count="1" selected="0">
            <x v="3"/>
          </reference>
        </references>
      </pivotArea>
    </chartFormat>
    <chartFormat chart="1" format="636" series="1">
      <pivotArea type="data" outline="0" fieldPosition="0">
        <references count="4">
          <reference field="4294967294" count="1" selected="0">
            <x v="0"/>
          </reference>
          <reference field="10" count="1" selected="0">
            <x v="38"/>
          </reference>
          <reference field="11" count="1" selected="0">
            <x v="46"/>
          </reference>
          <reference field="12" count="1" selected="0">
            <x v="3"/>
          </reference>
        </references>
      </pivotArea>
    </chartFormat>
    <chartFormat chart="1" format="637" series="1">
      <pivotArea type="data" outline="0" fieldPosition="0">
        <references count="4">
          <reference field="4294967294" count="1" selected="0">
            <x v="0"/>
          </reference>
          <reference field="10" count="1" selected="0">
            <x v="38"/>
          </reference>
          <reference field="11" count="1" selected="0">
            <x v="46"/>
          </reference>
          <reference field="12" count="1" selected="0">
            <x v="5"/>
          </reference>
        </references>
      </pivotArea>
    </chartFormat>
    <chartFormat chart="1" format="638" series="1">
      <pivotArea type="data" outline="0" fieldPosition="0">
        <references count="4">
          <reference field="4294967294" count="1" selected="0">
            <x v="0"/>
          </reference>
          <reference field="10" count="1" selected="0">
            <x v="92"/>
          </reference>
          <reference field="11" count="1" selected="0">
            <x v="48"/>
          </reference>
          <reference field="12" count="1" selected="0">
            <x v="3"/>
          </reference>
        </references>
      </pivotArea>
    </chartFormat>
    <chartFormat chart="1" format="639" series="1">
      <pivotArea type="data" outline="0" fieldPosition="0">
        <references count="4">
          <reference field="4294967294" count="1" selected="0">
            <x v="0"/>
          </reference>
          <reference field="10" count="1" selected="0">
            <x v="92"/>
          </reference>
          <reference field="11" count="1" selected="0">
            <x v="48"/>
          </reference>
          <reference field="12" count="1" selected="0">
            <x v="5"/>
          </reference>
        </references>
      </pivotArea>
    </chartFormat>
    <chartFormat chart="1" format="640" series="1">
      <pivotArea type="data" outline="0" fieldPosition="0">
        <references count="4">
          <reference field="4294967294" count="1" selected="0">
            <x v="0"/>
          </reference>
          <reference field="10" count="1" selected="0">
            <x v="92"/>
          </reference>
          <reference field="11" count="1" selected="0">
            <x v="49"/>
          </reference>
          <reference field="12" count="1" selected="0">
            <x v="3"/>
          </reference>
        </references>
      </pivotArea>
    </chartFormat>
    <chartFormat chart="1" format="641" series="1">
      <pivotArea type="data" outline="0" fieldPosition="0">
        <references count="4">
          <reference field="4294967294" count="1" selected="0">
            <x v="0"/>
          </reference>
          <reference field="10" count="1" selected="0">
            <x v="86"/>
          </reference>
          <reference field="11" count="1" selected="0">
            <x v="50"/>
          </reference>
          <reference field="12" count="1" selected="0">
            <x v="7"/>
          </reference>
        </references>
      </pivotArea>
    </chartFormat>
    <chartFormat chart="1" format="642" series="1">
      <pivotArea type="data" outline="0" fieldPosition="0">
        <references count="4">
          <reference field="4294967294" count="1" selected="0">
            <x v="0"/>
          </reference>
          <reference field="10" count="1" selected="0">
            <x v="86"/>
          </reference>
          <reference field="11" count="1" selected="0">
            <x v="51"/>
          </reference>
          <reference field="12" count="1" selected="0">
            <x v="7"/>
          </reference>
        </references>
      </pivotArea>
    </chartFormat>
    <chartFormat chart="1" format="643" series="1">
      <pivotArea type="data" outline="0" fieldPosition="0">
        <references count="4">
          <reference field="4294967294" count="1" selected="0">
            <x v="0"/>
          </reference>
          <reference field="10" count="1" selected="0">
            <x v="86"/>
          </reference>
          <reference field="11" count="1" selected="0">
            <x v="52"/>
          </reference>
          <reference field="12" count="1" selected="0">
            <x v="7"/>
          </reference>
        </references>
      </pivotArea>
    </chartFormat>
    <chartFormat chart="1" format="644" series="1">
      <pivotArea type="data" outline="0" fieldPosition="0">
        <references count="4">
          <reference field="4294967294" count="1" selected="0">
            <x v="0"/>
          </reference>
          <reference field="10" count="1" selected="0">
            <x v="91"/>
          </reference>
          <reference field="11" count="1" selected="0">
            <x v="0"/>
          </reference>
          <reference field="12" count="1" selected="0">
            <x v="5"/>
          </reference>
        </references>
      </pivotArea>
    </chartFormat>
    <chartFormat chart="1" format="645" series="1">
      <pivotArea type="data" outline="0" fieldPosition="0">
        <references count="4">
          <reference field="4294967294" count="1" selected="0">
            <x v="0"/>
          </reference>
          <reference field="10" count="1" selected="0">
            <x v="91"/>
          </reference>
          <reference field="11" count="1" selected="0">
            <x v="1"/>
          </reference>
          <reference field="12" count="1" selected="0">
            <x v="5"/>
          </reference>
        </references>
      </pivotArea>
    </chartFormat>
    <chartFormat chart="1" format="646" series="1">
      <pivotArea type="data" outline="0" fieldPosition="0">
        <references count="4">
          <reference field="4294967294" count="1" selected="0">
            <x v="0"/>
          </reference>
          <reference field="10" count="1" selected="0">
            <x v="91"/>
          </reference>
          <reference field="11" count="1" selected="0">
            <x v="3"/>
          </reference>
          <reference field="12" count="1" selected="0">
            <x v="3"/>
          </reference>
        </references>
      </pivotArea>
    </chartFormat>
    <chartFormat chart="1" format="647" series="1">
      <pivotArea type="data" outline="0" fieldPosition="0">
        <references count="4">
          <reference field="4294967294" count="1" selected="0">
            <x v="0"/>
          </reference>
          <reference field="10" count="1" selected="0">
            <x v="91"/>
          </reference>
          <reference field="11" count="1" selected="0">
            <x v="11"/>
          </reference>
          <reference field="12" count="1" selected="0">
            <x v="3"/>
          </reference>
        </references>
      </pivotArea>
    </chartFormat>
    <chartFormat chart="1" format="648" series="1">
      <pivotArea type="data" outline="0" fieldPosition="0">
        <references count="4">
          <reference field="4294967294" count="1" selected="0">
            <x v="0"/>
          </reference>
          <reference field="10" count="1" selected="0">
            <x v="91"/>
          </reference>
          <reference field="11" count="1" selected="0">
            <x v="48"/>
          </reference>
          <reference field="12" count="1" selected="0">
            <x v="3"/>
          </reference>
        </references>
      </pivotArea>
    </chartFormat>
    <chartFormat chart="1" format="649" series="1">
      <pivotArea type="data" outline="0" fieldPosition="0">
        <references count="4">
          <reference field="4294967294" count="1" selected="0">
            <x v="0"/>
          </reference>
          <reference field="10" count="1" selected="0">
            <x v="91"/>
          </reference>
          <reference field="11" count="1" selected="0">
            <x v="48"/>
          </reference>
          <reference field="12" count="1" selected="0">
            <x v="5"/>
          </reference>
        </references>
      </pivotArea>
    </chartFormat>
    <chartFormat chart="1" format="650" series="1">
      <pivotArea type="data" outline="0" fieldPosition="0">
        <references count="4">
          <reference field="4294967294" count="1" selected="0">
            <x v="0"/>
          </reference>
          <reference field="10" count="1" selected="0">
            <x v="91"/>
          </reference>
          <reference field="11" count="1" selected="0">
            <x v="49"/>
          </reference>
          <reference field="12" count="1" selected="0">
            <x v="3"/>
          </reference>
        </references>
      </pivotArea>
    </chartFormat>
    <chartFormat chart="1" format="651" series="1">
      <pivotArea type="data" outline="0" fieldPosition="0">
        <references count="4">
          <reference field="4294967294" count="1" selected="0">
            <x v="0"/>
          </reference>
          <reference field="10" count="1" selected="0">
            <x v="92"/>
          </reference>
          <reference field="11" count="1" selected="0">
            <x v="0"/>
          </reference>
          <reference field="12" count="1" selected="0">
            <x v="5"/>
          </reference>
        </references>
      </pivotArea>
    </chartFormat>
    <chartFormat chart="1" format="652" series="1">
      <pivotArea type="data" outline="0" fieldPosition="0">
        <references count="4">
          <reference field="4294967294" count="1" selected="0">
            <x v="0"/>
          </reference>
          <reference field="10" count="1" selected="0">
            <x v="92"/>
          </reference>
          <reference field="11" count="1" selected="0">
            <x v="1"/>
          </reference>
          <reference field="12" count="1" selected="0">
            <x v="5"/>
          </reference>
        </references>
      </pivotArea>
    </chartFormat>
    <chartFormat chart="1" format="653" series="1">
      <pivotArea type="data" outline="0" fieldPosition="0">
        <references count="4">
          <reference field="4294967294" count="1" selected="0">
            <x v="0"/>
          </reference>
          <reference field="10" count="1" selected="0">
            <x v="92"/>
          </reference>
          <reference field="11" count="1" selected="0">
            <x v="3"/>
          </reference>
          <reference field="12" count="1" selected="0">
            <x v="3"/>
          </reference>
        </references>
      </pivotArea>
    </chartFormat>
    <chartFormat chart="1" format="654" series="1">
      <pivotArea type="data" outline="0" fieldPosition="0">
        <references count="4">
          <reference field="4294967294" count="1" selected="0">
            <x v="0"/>
          </reference>
          <reference field="10" count="1" selected="0">
            <x v="92"/>
          </reference>
          <reference field="11" count="1" selected="0">
            <x v="11"/>
          </reference>
          <reference field="12" count="1" selected="0">
            <x v="3"/>
          </reference>
        </references>
      </pivotArea>
    </chartFormat>
    <chartFormat chart="1" format="655" series="1">
      <pivotArea type="data" outline="0" fieldPosition="0">
        <references count="4">
          <reference field="4294967294" count="1" selected="0">
            <x v="0"/>
          </reference>
          <reference field="10" count="1" selected="0">
            <x v="55"/>
          </reference>
          <reference field="11" count="1" selected="0">
            <x v="53"/>
          </reference>
          <reference field="12" count="1" selected="0">
            <x v="7"/>
          </reference>
        </references>
      </pivotArea>
    </chartFormat>
    <chartFormat chart="1" format="656" series="1">
      <pivotArea type="data" outline="0" fieldPosition="0">
        <references count="4">
          <reference field="4294967294" count="1" selected="0">
            <x v="0"/>
          </reference>
          <reference field="10" count="1" selected="0">
            <x v="88"/>
          </reference>
          <reference field="11" count="1" selected="0">
            <x v="28"/>
          </reference>
          <reference field="12" count="1" selected="0">
            <x v="7"/>
          </reference>
        </references>
      </pivotArea>
    </chartFormat>
    <chartFormat chart="1" format="657" series="1">
      <pivotArea type="data" outline="0" fieldPosition="0">
        <references count="4">
          <reference field="4294967294" count="1" selected="0">
            <x v="0"/>
          </reference>
          <reference field="10" count="1" selected="0">
            <x v="88"/>
          </reference>
          <reference field="11" count="1" selected="0">
            <x v="29"/>
          </reference>
          <reference field="12" count="1" selected="0">
            <x v="7"/>
          </reference>
        </references>
      </pivotArea>
    </chartFormat>
    <chartFormat chart="1" format="658" series="1">
      <pivotArea type="data" outline="0" fieldPosition="0">
        <references count="4">
          <reference field="4294967294" count="1" selected="0">
            <x v="0"/>
          </reference>
          <reference field="10" count="1" selected="0">
            <x v="89"/>
          </reference>
          <reference field="11" count="1" selected="0">
            <x v="30"/>
          </reference>
          <reference field="12" count="1" selected="0">
            <x v="7"/>
          </reference>
        </references>
      </pivotArea>
    </chartFormat>
    <chartFormat chart="1" format="659" series="1">
      <pivotArea type="data" outline="0" fieldPosition="0">
        <references count="4">
          <reference field="4294967294" count="1" selected="0">
            <x v="0"/>
          </reference>
          <reference field="10" count="1" selected="0">
            <x v="89"/>
          </reference>
          <reference field="11" count="1" selected="0">
            <x v="31"/>
          </reference>
          <reference field="12" count="1" selected="0">
            <x v="7"/>
          </reference>
        </references>
      </pivotArea>
    </chartFormat>
    <chartFormat chart="1" format="660" series="1">
      <pivotArea type="data" outline="0" fieldPosition="0">
        <references count="4">
          <reference field="4294967294" count="1" selected="0">
            <x v="0"/>
          </reference>
          <reference field="10" count="1" selected="0">
            <x v="63"/>
          </reference>
          <reference field="11" count="1" selected="0">
            <x v="53"/>
          </reference>
          <reference field="12" count="1" selected="0">
            <x v="7"/>
          </reference>
        </references>
      </pivotArea>
    </chartFormat>
    <chartFormat chart="1" format="661" series="1">
      <pivotArea type="data" outline="0" fieldPosition="0">
        <references count="4">
          <reference field="4294967294" count="1" selected="0">
            <x v="0"/>
          </reference>
          <reference field="10" count="1" selected="0">
            <x v="64"/>
          </reference>
          <reference field="11" count="1" selected="0">
            <x v="53"/>
          </reference>
          <reference field="12" count="1" selected="0">
            <x v="7"/>
          </reference>
        </references>
      </pivotArea>
    </chartFormat>
    <chartFormat chart="1" format="662" series="1">
      <pivotArea type="data" outline="0" fieldPosition="0">
        <references count="4">
          <reference field="4294967294" count="1" selected="0">
            <x v="0"/>
          </reference>
          <reference field="10" count="1" selected="0">
            <x v="65"/>
          </reference>
          <reference field="11" count="1" selected="0">
            <x v="53"/>
          </reference>
          <reference field="12" count="1" selected="0">
            <x v="7"/>
          </reference>
        </references>
      </pivotArea>
    </chartFormat>
    <chartFormat chart="1" format="663" series="1">
      <pivotArea type="data" outline="0" fieldPosition="0">
        <references count="4">
          <reference field="4294967294" count="1" selected="0">
            <x v="0"/>
          </reference>
          <reference field="10" count="1" selected="0">
            <x v="66"/>
          </reference>
          <reference field="11" count="1" selected="0">
            <x v="7"/>
          </reference>
          <reference field="12" count="1" selected="0">
            <x v="7"/>
          </reference>
        </references>
      </pivotArea>
    </chartFormat>
    <chartFormat chart="1" format="664" series="1">
      <pivotArea type="data" outline="0" fieldPosition="0">
        <references count="4">
          <reference field="4294967294" count="1" selected="0">
            <x v="0"/>
          </reference>
          <reference field="10" count="1" selected="0">
            <x v="66"/>
          </reference>
          <reference field="11" count="1" selected="0">
            <x v="8"/>
          </reference>
          <reference field="12" count="1" selected="0">
            <x v="7"/>
          </reference>
        </references>
      </pivotArea>
    </chartFormat>
    <chartFormat chart="1" format="665" series="1">
      <pivotArea type="data" outline="0" fieldPosition="0">
        <references count="4">
          <reference field="4294967294" count="1" selected="0">
            <x v="0"/>
          </reference>
          <reference field="10" count="1" selected="0">
            <x v="66"/>
          </reference>
          <reference field="11" count="1" selected="0">
            <x v="10"/>
          </reference>
          <reference field="12" count="1" selected="0">
            <x v="7"/>
          </reference>
        </references>
      </pivotArea>
    </chartFormat>
    <chartFormat chart="1" format="666" series="1">
      <pivotArea type="data" outline="0" fieldPosition="0">
        <references count="4">
          <reference field="4294967294" count="1" selected="0">
            <x v="0"/>
          </reference>
          <reference field="10" count="1" selected="0">
            <x v="66"/>
          </reference>
          <reference field="11" count="1" selected="0">
            <x v="20"/>
          </reference>
          <reference field="12" count="1" selected="0">
            <x v="7"/>
          </reference>
        </references>
      </pivotArea>
    </chartFormat>
    <chartFormat chart="1" format="667" series="1">
      <pivotArea type="data" outline="0" fieldPosition="0">
        <references count="4">
          <reference field="4294967294" count="1" selected="0">
            <x v="0"/>
          </reference>
          <reference field="10" count="1" selected="0">
            <x v="66"/>
          </reference>
          <reference field="11" count="1" selected="0">
            <x v="22"/>
          </reference>
          <reference field="12" count="1" selected="0">
            <x v="7"/>
          </reference>
        </references>
      </pivotArea>
    </chartFormat>
    <chartFormat chart="1" format="668" series="1">
      <pivotArea type="data" outline="0" fieldPosition="0">
        <references count="4">
          <reference field="4294967294" count="1" selected="0">
            <x v="0"/>
          </reference>
          <reference field="10" count="1" selected="0">
            <x v="58"/>
          </reference>
          <reference field="11" count="1" selected="0">
            <x v="53"/>
          </reference>
          <reference field="12" count="1" selected="0">
            <x v="7"/>
          </reference>
        </references>
      </pivotArea>
    </chartFormat>
    <chartFormat chart="1" format="669" series="1">
      <pivotArea type="data" outline="0" fieldPosition="0">
        <references count="4">
          <reference field="4294967294" count="1" selected="0">
            <x v="0"/>
          </reference>
          <reference field="10" count="1" selected="0">
            <x v="59"/>
          </reference>
          <reference field="11" count="1" selected="0">
            <x v="53"/>
          </reference>
          <reference field="12" count="1" selected="0">
            <x v="7"/>
          </reference>
        </references>
      </pivotArea>
    </chartFormat>
    <chartFormat chart="1" format="670" series="1">
      <pivotArea type="data" outline="0" fieldPosition="0">
        <references count="4">
          <reference field="4294967294" count="1" selected="0">
            <x v="0"/>
          </reference>
          <reference field="10" count="1" selected="0">
            <x v="60"/>
          </reference>
          <reference field="11" count="1" selected="0">
            <x v="53"/>
          </reference>
          <reference field="12" count="1" selected="0">
            <x v="7"/>
          </reference>
        </references>
      </pivotArea>
    </chartFormat>
    <chartFormat chart="1" format="671" series="1">
      <pivotArea type="data" outline="0" fieldPosition="0">
        <references count="4">
          <reference field="4294967294" count="1" selected="0">
            <x v="0"/>
          </reference>
          <reference field="10" count="1" selected="0">
            <x v="61"/>
          </reference>
          <reference field="11" count="1" selected="0">
            <x v="53"/>
          </reference>
          <reference field="12" count="1" selected="0">
            <x v="7"/>
          </reference>
        </references>
      </pivotArea>
    </chartFormat>
    <chartFormat chart="1" format="672" series="1">
      <pivotArea type="data" outline="0" fieldPosition="0">
        <references count="4">
          <reference field="4294967294" count="1" selected="0">
            <x v="0"/>
          </reference>
          <reference field="10" count="1" selected="0">
            <x v="62"/>
          </reference>
          <reference field="11" count="1" selected="0">
            <x v="53"/>
          </reference>
          <reference field="12" count="1" selected="0">
            <x v="7"/>
          </reference>
        </references>
      </pivotArea>
    </chartFormat>
    <chartFormat chart="1" format="673" series="1">
      <pivotArea type="data" outline="0" fieldPosition="0">
        <references count="4">
          <reference field="4294967294" count="1" selected="0">
            <x v="0"/>
          </reference>
          <reference field="10" count="1" selected="0">
            <x v="71"/>
          </reference>
          <reference field="11" count="1" selected="0">
            <x v="15"/>
          </reference>
          <reference field="12" count="1" selected="0">
            <x v="7"/>
          </reference>
        </references>
      </pivotArea>
    </chartFormat>
    <chartFormat chart="1" format="674" series="1">
      <pivotArea type="data" outline="0" fieldPosition="0">
        <references count="4">
          <reference field="4294967294" count="1" selected="0">
            <x v="0"/>
          </reference>
          <reference field="10" count="1" selected="0">
            <x v="71"/>
          </reference>
          <reference field="11" count="1" selected="0">
            <x v="26"/>
          </reference>
          <reference field="12" count="1" selected="0">
            <x v="7"/>
          </reference>
        </references>
      </pivotArea>
    </chartFormat>
    <chartFormat chart="1" format="675" series="1">
      <pivotArea type="data" outline="0" fieldPosition="0">
        <references count="4">
          <reference field="4294967294" count="1" selected="0">
            <x v="0"/>
          </reference>
          <reference field="10" count="1" selected="0">
            <x v="72"/>
          </reference>
          <reference field="11" count="1" selected="0">
            <x v="9"/>
          </reference>
          <reference field="12" count="1" selected="0">
            <x v="7"/>
          </reference>
        </references>
      </pivotArea>
    </chartFormat>
    <chartFormat chart="1" format="676" series="1">
      <pivotArea type="data" outline="0" fieldPosition="0">
        <references count="4">
          <reference field="4294967294" count="1" selected="0">
            <x v="0"/>
          </reference>
          <reference field="10" count="1" selected="0">
            <x v="72"/>
          </reference>
          <reference field="11" count="1" selected="0">
            <x v="15"/>
          </reference>
          <reference field="12" count="1" selected="0">
            <x v="7"/>
          </reference>
        </references>
      </pivotArea>
    </chartFormat>
    <chartFormat chart="1" format="677" series="1">
      <pivotArea type="data" outline="0" fieldPosition="0">
        <references count="4">
          <reference field="4294967294" count="1" selected="0">
            <x v="0"/>
          </reference>
          <reference field="10" count="1" selected="0">
            <x v="72"/>
          </reference>
          <reference field="11" count="1" selected="0">
            <x v="26"/>
          </reference>
          <reference field="12" count="1" selected="0">
            <x v="7"/>
          </reference>
        </references>
      </pivotArea>
    </chartFormat>
    <chartFormat chart="1" format="678" series="1">
      <pivotArea type="data" outline="0" fieldPosition="0">
        <references count="4">
          <reference field="4294967294" count="1" selected="0">
            <x v="0"/>
          </reference>
          <reference field="10" count="1" selected="0">
            <x v="73"/>
          </reference>
          <reference field="11" count="1" selected="0">
            <x v="9"/>
          </reference>
          <reference field="12" count="1" selected="0">
            <x v="7"/>
          </reference>
        </references>
      </pivotArea>
    </chartFormat>
    <chartFormat chart="1" format="679" series="1">
      <pivotArea type="data" outline="0" fieldPosition="0">
        <references count="4">
          <reference field="4294967294" count="1" selected="0">
            <x v="0"/>
          </reference>
          <reference field="10" count="1" selected="0">
            <x v="73"/>
          </reference>
          <reference field="11" count="1" selected="0">
            <x v="15"/>
          </reference>
          <reference field="12" count="1" selected="0">
            <x v="7"/>
          </reference>
        </references>
      </pivotArea>
    </chartFormat>
    <chartFormat chart="1" format="680" series="1">
      <pivotArea type="data" outline="0" fieldPosition="0">
        <references count="4">
          <reference field="4294967294" count="1" selected="0">
            <x v="0"/>
          </reference>
          <reference field="10" count="1" selected="0">
            <x v="73"/>
          </reference>
          <reference field="11" count="1" selected="0">
            <x v="26"/>
          </reference>
          <reference field="12" count="1" selected="0">
            <x v="7"/>
          </reference>
        </references>
      </pivotArea>
    </chartFormat>
    <chartFormat chart="1" format="681" series="1">
      <pivotArea type="data" outline="0" fieldPosition="0">
        <references count="4">
          <reference field="4294967294" count="1" selected="0">
            <x v="0"/>
          </reference>
          <reference field="10" count="1" selected="0">
            <x v="74"/>
          </reference>
          <reference field="11" count="1" selected="0">
            <x v="9"/>
          </reference>
          <reference field="12" count="1" selected="0">
            <x v="7"/>
          </reference>
        </references>
      </pivotArea>
    </chartFormat>
    <chartFormat chart="1" format="682" series="1">
      <pivotArea type="data" outline="0" fieldPosition="0">
        <references count="4">
          <reference field="4294967294" count="1" selected="0">
            <x v="0"/>
          </reference>
          <reference field="10" count="1" selected="0">
            <x v="74"/>
          </reference>
          <reference field="11" count="1" selected="0">
            <x v="15"/>
          </reference>
          <reference field="12" count="1" selected="0">
            <x v="7"/>
          </reference>
        </references>
      </pivotArea>
    </chartFormat>
    <chartFormat chart="1" format="683" series="1">
      <pivotArea type="data" outline="0" fieldPosition="0">
        <references count="4">
          <reference field="4294967294" count="1" selected="0">
            <x v="0"/>
          </reference>
          <reference field="10" count="1" selected="0">
            <x v="74"/>
          </reference>
          <reference field="11" count="1" selected="0">
            <x v="26"/>
          </reference>
          <reference field="12" count="1" selected="0">
            <x v="7"/>
          </reference>
        </references>
      </pivotArea>
    </chartFormat>
    <chartFormat chart="1" format="684" series="1">
      <pivotArea type="data" outline="0" fieldPosition="0">
        <references count="4">
          <reference field="4294967294" count="1" selected="0">
            <x v="0"/>
          </reference>
          <reference field="10" count="1" selected="0">
            <x v="75"/>
          </reference>
          <reference field="11" count="1" selected="0">
            <x v="53"/>
          </reference>
          <reference field="12" count="1" selected="0">
            <x v="7"/>
          </reference>
        </references>
      </pivotArea>
    </chartFormat>
    <chartFormat chart="1" format="685" series="1">
      <pivotArea type="data" outline="0" fieldPosition="0">
        <references count="4">
          <reference field="4294967294" count="1" selected="0">
            <x v="0"/>
          </reference>
          <reference field="10" count="1" selected="0">
            <x v="76"/>
          </reference>
          <reference field="11" count="1" selected="0">
            <x v="53"/>
          </reference>
          <reference field="12" count="1" selected="0">
            <x v="7"/>
          </reference>
        </references>
      </pivotArea>
    </chartFormat>
    <chartFormat chart="1" format="686" series="1">
      <pivotArea type="data" outline="0" fieldPosition="0">
        <references count="4">
          <reference field="4294967294" count="1" selected="0">
            <x v="0"/>
          </reference>
          <reference field="10" count="1" selected="0">
            <x v="77"/>
          </reference>
          <reference field="11" count="1" selected="0">
            <x v="53"/>
          </reference>
          <reference field="12" count="1" selected="0">
            <x v="7"/>
          </reference>
        </references>
      </pivotArea>
    </chartFormat>
    <chartFormat chart="1" format="687" series="1">
      <pivotArea type="data" outline="0" fieldPosition="0">
        <references count="4">
          <reference field="4294967294" count="1" selected="0">
            <x v="0"/>
          </reference>
          <reference field="10" count="1" selected="0">
            <x v="67"/>
          </reference>
          <reference field="11" count="1" selected="0">
            <x v="9"/>
          </reference>
          <reference field="12" count="1" selected="0">
            <x v="7"/>
          </reference>
        </references>
      </pivotArea>
    </chartFormat>
    <chartFormat chart="1" format="688" series="1">
      <pivotArea type="data" outline="0" fieldPosition="0">
        <references count="4">
          <reference field="4294967294" count="1" selected="0">
            <x v="0"/>
          </reference>
          <reference field="10" count="1" selected="0">
            <x v="67"/>
          </reference>
          <reference field="11" count="1" selected="0">
            <x v="15"/>
          </reference>
          <reference field="12" count="1" selected="0">
            <x v="7"/>
          </reference>
        </references>
      </pivotArea>
    </chartFormat>
    <chartFormat chart="1" format="689" series="1">
      <pivotArea type="data" outline="0" fieldPosition="0">
        <references count="4">
          <reference field="4294967294" count="1" selected="0">
            <x v="0"/>
          </reference>
          <reference field="10" count="1" selected="0">
            <x v="67"/>
          </reference>
          <reference field="11" count="1" selected="0">
            <x v="26"/>
          </reference>
          <reference field="12" count="1" selected="0">
            <x v="7"/>
          </reference>
        </references>
      </pivotArea>
    </chartFormat>
    <chartFormat chart="1" format="690" series="1">
      <pivotArea type="data" outline="0" fieldPosition="0">
        <references count="4">
          <reference field="4294967294" count="1" selected="0">
            <x v="0"/>
          </reference>
          <reference field="10" count="1" selected="0">
            <x v="68"/>
          </reference>
          <reference field="11" count="1" selected="0">
            <x v="9"/>
          </reference>
          <reference field="12" count="1" selected="0">
            <x v="7"/>
          </reference>
        </references>
      </pivotArea>
    </chartFormat>
    <chartFormat chart="1" format="691" series="1">
      <pivotArea type="data" outline="0" fieldPosition="0">
        <references count="4">
          <reference field="4294967294" count="1" selected="0">
            <x v="0"/>
          </reference>
          <reference field="10" count="1" selected="0">
            <x v="68"/>
          </reference>
          <reference field="11" count="1" selected="0">
            <x v="15"/>
          </reference>
          <reference field="12" count="1" selected="0">
            <x v="7"/>
          </reference>
        </references>
      </pivotArea>
    </chartFormat>
    <chartFormat chart="1" format="692" series="1">
      <pivotArea type="data" outline="0" fieldPosition="0">
        <references count="4">
          <reference field="4294967294" count="1" selected="0">
            <x v="0"/>
          </reference>
          <reference field="10" count="1" selected="0">
            <x v="68"/>
          </reference>
          <reference field="11" count="1" selected="0">
            <x v="26"/>
          </reference>
          <reference field="12" count="1" selected="0">
            <x v="7"/>
          </reference>
        </references>
      </pivotArea>
    </chartFormat>
    <chartFormat chart="1" format="693" series="1">
      <pivotArea type="data" outline="0" fieldPosition="0">
        <references count="4">
          <reference field="4294967294" count="1" selected="0">
            <x v="0"/>
          </reference>
          <reference field="10" count="1" selected="0">
            <x v="69"/>
          </reference>
          <reference field="11" count="1" selected="0">
            <x v="9"/>
          </reference>
          <reference field="12" count="1" selected="0">
            <x v="7"/>
          </reference>
        </references>
      </pivotArea>
    </chartFormat>
    <chartFormat chart="1" format="694" series="1">
      <pivotArea type="data" outline="0" fieldPosition="0">
        <references count="4">
          <reference field="4294967294" count="1" selected="0">
            <x v="0"/>
          </reference>
          <reference field="10" count="1" selected="0">
            <x v="69"/>
          </reference>
          <reference field="11" count="1" selected="0">
            <x v="15"/>
          </reference>
          <reference field="12" count="1" selected="0">
            <x v="7"/>
          </reference>
        </references>
      </pivotArea>
    </chartFormat>
    <chartFormat chart="1" format="695" series="1">
      <pivotArea type="data" outline="0" fieldPosition="0">
        <references count="4">
          <reference field="4294967294" count="1" selected="0">
            <x v="0"/>
          </reference>
          <reference field="10" count="1" selected="0">
            <x v="69"/>
          </reference>
          <reference field="11" count="1" selected="0">
            <x v="26"/>
          </reference>
          <reference field="12" count="1" selected="0">
            <x v="7"/>
          </reference>
        </references>
      </pivotArea>
    </chartFormat>
    <chartFormat chart="1" format="696" series="1">
      <pivotArea type="data" outline="0" fieldPosition="0">
        <references count="4">
          <reference field="4294967294" count="1" selected="0">
            <x v="0"/>
          </reference>
          <reference field="10" count="1" selected="0">
            <x v="70"/>
          </reference>
          <reference field="11" count="1" selected="0">
            <x v="9"/>
          </reference>
          <reference field="12" count="1" selected="0">
            <x v="7"/>
          </reference>
        </references>
      </pivotArea>
    </chartFormat>
    <chartFormat chart="1" format="697" series="1">
      <pivotArea type="data" outline="0" fieldPosition="0">
        <references count="4">
          <reference field="4294967294" count="1" selected="0">
            <x v="0"/>
          </reference>
          <reference field="10" count="1" selected="0">
            <x v="70"/>
          </reference>
          <reference field="11" count="1" selected="0">
            <x v="15"/>
          </reference>
          <reference field="12" count="1" selected="0">
            <x v="7"/>
          </reference>
        </references>
      </pivotArea>
    </chartFormat>
    <chartFormat chart="1" format="698" series="1">
      <pivotArea type="data" outline="0" fieldPosition="0">
        <references count="4">
          <reference field="4294967294" count="1" selected="0">
            <x v="0"/>
          </reference>
          <reference field="10" count="1" selected="0">
            <x v="70"/>
          </reference>
          <reference field="11" count="1" selected="0">
            <x v="26"/>
          </reference>
          <reference field="12" count="1" selected="0">
            <x v="7"/>
          </reference>
        </references>
      </pivotArea>
    </chartFormat>
    <chartFormat chart="1" format="699" series="1">
      <pivotArea type="data" outline="0" fieldPosition="0">
        <references count="4">
          <reference field="4294967294" count="1" selected="0">
            <x v="0"/>
          </reference>
          <reference field="10" count="1" selected="0">
            <x v="71"/>
          </reference>
          <reference field="11" count="1" selected="0">
            <x v="9"/>
          </reference>
          <reference field="12" count="1" selected="0">
            <x v="7"/>
          </reference>
        </references>
      </pivotArea>
    </chartFormat>
    <chartFormat chart="1" format="700" series="1">
      <pivotArea type="data" outline="0" fieldPosition="0">
        <references count="4">
          <reference field="4294967294" count="1" selected="0">
            <x v="0"/>
          </reference>
          <reference field="10" count="1" selected="0">
            <x v="78"/>
          </reference>
          <reference field="11" count="1" selected="0">
            <x v="53"/>
          </reference>
          <reference field="12" count="1" selected="0">
            <x v="7"/>
          </reference>
        </references>
      </pivotArea>
    </chartFormat>
    <chartFormat chart="1" format="701" series="1">
      <pivotArea type="data" outline="0" fieldPosition="0">
        <references count="4">
          <reference field="4294967294" count="1" selected="0">
            <x v="0"/>
          </reference>
          <reference field="10" count="1" selected="0">
            <x v="79"/>
          </reference>
          <reference field="11" count="1" selected="0">
            <x v="2"/>
          </reference>
          <reference field="12" count="1" selected="0">
            <x v="7"/>
          </reference>
        </references>
      </pivotArea>
    </chartFormat>
    <chartFormat chart="1" format="702" series="1">
      <pivotArea type="data" outline="0" fieldPosition="0">
        <references count="4">
          <reference field="4294967294" count="1" selected="0">
            <x v="0"/>
          </reference>
          <reference field="10" count="1" selected="0">
            <x v="79"/>
          </reference>
          <reference field="11" count="1" selected="0">
            <x v="9"/>
          </reference>
          <reference field="12" count="1" selected="0">
            <x v="7"/>
          </reference>
        </references>
      </pivotArea>
    </chartFormat>
    <chartFormat chart="1" format="703" series="1">
      <pivotArea type="data" outline="0" fieldPosition="0">
        <references count="4">
          <reference field="4294967294" count="1" selected="0">
            <x v="0"/>
          </reference>
          <reference field="10" count="1" selected="0">
            <x v="79"/>
          </reference>
          <reference field="11" count="1" selected="0">
            <x v="16"/>
          </reference>
          <reference field="12" count="1" selected="0">
            <x v="7"/>
          </reference>
        </references>
      </pivotArea>
    </chartFormat>
    <chartFormat chart="1" format="704" series="1">
      <pivotArea type="data" outline="0" fieldPosition="0">
        <references count="4">
          <reference field="4294967294" count="1" selected="0">
            <x v="0"/>
          </reference>
          <reference field="10" count="1" selected="0">
            <x v="80"/>
          </reference>
          <reference field="11" count="1" selected="0">
            <x v="2"/>
          </reference>
          <reference field="12" count="1" selected="0">
            <x v="7"/>
          </reference>
        </references>
      </pivotArea>
    </chartFormat>
    <chartFormat chart="1" format="705" series="1">
      <pivotArea type="data" outline="0" fieldPosition="0">
        <references count="4">
          <reference field="4294967294" count="1" selected="0">
            <x v="0"/>
          </reference>
          <reference field="10" count="1" selected="0">
            <x v="80"/>
          </reference>
          <reference field="11" count="1" selected="0">
            <x v="9"/>
          </reference>
          <reference field="12" count="1" selected="0">
            <x v="7"/>
          </reference>
        </references>
      </pivotArea>
    </chartFormat>
    <chartFormat chart="1" format="706" series="1">
      <pivotArea type="data" outline="0" fieldPosition="0">
        <references count="4">
          <reference field="4294967294" count="1" selected="0">
            <x v="0"/>
          </reference>
          <reference field="10" count="1" selected="0">
            <x v="80"/>
          </reference>
          <reference field="11" count="1" selected="0">
            <x v="16"/>
          </reference>
          <reference field="12" count="1" selected="0">
            <x v="7"/>
          </reference>
        </references>
      </pivotArea>
    </chartFormat>
    <chartFormat chart="1" format="707" series="1">
      <pivotArea type="data" outline="0" fieldPosition="0">
        <references count="4">
          <reference field="4294967294" count="1" selected="0">
            <x v="0"/>
          </reference>
          <reference field="10" count="1" selected="0">
            <x v="81"/>
          </reference>
          <reference field="11" count="1" selected="0">
            <x v="53"/>
          </reference>
          <reference field="12" count="1" selected="0">
            <x v="7"/>
          </reference>
        </references>
      </pivotArea>
    </chartFormat>
    <chartFormat chart="1" format="708" series="1">
      <pivotArea type="data" outline="0" fieldPosition="0">
        <references count="4">
          <reference field="4294967294" count="1" selected="0">
            <x v="0"/>
          </reference>
          <reference field="10" count="1" selected="0">
            <x v="82"/>
          </reference>
          <reference field="11" count="1" selected="0">
            <x v="53"/>
          </reference>
          <reference field="12" count="1" selected="0">
            <x v="7"/>
          </reference>
        </references>
      </pivotArea>
    </chartFormat>
    <chartFormat chart="1" format="709" series="1">
      <pivotArea type="data" outline="0" fieldPosition="0">
        <references count="4">
          <reference field="4294967294" count="1" selected="0">
            <x v="0"/>
          </reference>
          <reference field="10" count="1" selected="0">
            <x v="83"/>
          </reference>
          <reference field="11" count="1" selected="0">
            <x v="53"/>
          </reference>
          <reference field="12" count="1" selected="0">
            <x v="7"/>
          </reference>
        </references>
      </pivotArea>
    </chartFormat>
    <chartFormat chart="1" format="710" series="1">
      <pivotArea type="data" outline="0" fieldPosition="0">
        <references count="4">
          <reference field="4294967294" count="1" selected="0">
            <x v="0"/>
          </reference>
          <reference field="10" count="1" selected="0">
            <x v="84"/>
          </reference>
          <reference field="11" count="1" selected="0">
            <x v="53"/>
          </reference>
          <reference field="12" count="1" selected="0">
            <x v="7"/>
          </reference>
        </references>
      </pivotArea>
    </chartFormat>
    <chartFormat chart="1" format="711" series="1">
      <pivotArea type="data" outline="0" fieldPosition="0">
        <references count="4">
          <reference field="4294967294" count="1" selected="0">
            <x v="0"/>
          </reference>
          <reference field="10" count="1" selected="0">
            <x v="85"/>
          </reference>
          <reference field="11" count="1" selected="0">
            <x v="53"/>
          </reference>
          <reference field="12" count="1" selected="0">
            <x v="7"/>
          </reference>
        </references>
      </pivotArea>
    </chartFormat>
    <chartFormat chart="1" format="712" series="1">
      <pivotArea type="data" outline="0" fieldPosition="0">
        <references count="4">
          <reference field="4294967294" count="1" selected="0">
            <x v="0"/>
          </reference>
          <reference field="10" count="1" selected="0">
            <x v="87"/>
          </reference>
          <reference field="11" count="1" selected="0">
            <x v="53"/>
          </reference>
          <reference field="12" count="1" selected="0">
            <x v="7"/>
          </reference>
        </references>
      </pivotArea>
    </chartFormat>
    <chartFormat chart="1" format="713" series="1">
      <pivotArea type="data" outline="0" fieldPosition="0">
        <references count="4">
          <reference field="4294967294" count="1" selected="0">
            <x v="0"/>
          </reference>
          <reference field="10" count="1" selected="0">
            <x v="40"/>
          </reference>
          <reference field="11" count="1" selected="0">
            <x v="33"/>
          </reference>
          <reference field="12" count="1" selected="0">
            <x v="4"/>
          </reference>
        </references>
      </pivotArea>
    </chartFormat>
    <chartFormat chart="1" format="714" series="1">
      <pivotArea type="data" outline="0" fieldPosition="0">
        <references count="4">
          <reference field="4294967294" count="1" selected="0">
            <x v="0"/>
          </reference>
          <reference field="10" count="1" selected="0">
            <x v="40"/>
          </reference>
          <reference field="11" count="1" selected="0">
            <x v="34"/>
          </reference>
          <reference field="12" count="1" selected="0">
            <x v="4"/>
          </reference>
        </references>
      </pivotArea>
    </chartFormat>
    <chartFormat chart="1" format="715" series="1">
      <pivotArea type="data" outline="0" fieldPosition="0">
        <references count="4">
          <reference field="4294967294" count="1" selected="0">
            <x v="0"/>
          </reference>
          <reference field="10" count="1" selected="0">
            <x v="40"/>
          </reference>
          <reference field="11" count="1" selected="0">
            <x v="35"/>
          </reference>
          <reference field="12" count="1" selected="0">
            <x v="2"/>
          </reference>
        </references>
      </pivotArea>
    </chartFormat>
    <chartFormat chart="1" format="716" series="1">
      <pivotArea type="data" outline="0" fieldPosition="0">
        <references count="4">
          <reference field="4294967294" count="1" selected="0">
            <x v="0"/>
          </reference>
          <reference field="10" count="1" selected="0">
            <x v="40"/>
          </reference>
          <reference field="11" count="1" selected="0">
            <x v="35"/>
          </reference>
          <reference field="12" count="1" selected="0">
            <x v="4"/>
          </reference>
        </references>
      </pivotArea>
    </chartFormat>
    <chartFormat chart="1" format="717" series="1">
      <pivotArea type="data" outline="0" fieldPosition="0">
        <references count="4">
          <reference field="4294967294" count="1" selected="0">
            <x v="0"/>
          </reference>
          <reference field="10" count="1" selected="0">
            <x v="41"/>
          </reference>
          <reference field="11" count="1" selected="0">
            <x v="36"/>
          </reference>
          <reference field="12" count="1" selected="0">
            <x v="5"/>
          </reference>
        </references>
      </pivotArea>
    </chartFormat>
    <chartFormat chart="1" format="718" series="1">
      <pivotArea type="data" outline="0" fieldPosition="0">
        <references count="4">
          <reference field="4294967294" count="1" selected="0">
            <x v="0"/>
          </reference>
          <reference field="10" count="1" selected="0">
            <x v="42"/>
          </reference>
          <reference field="11" count="1" selected="0">
            <x v="36"/>
          </reference>
          <reference field="12" count="1" selected="0">
            <x v="3"/>
          </reference>
        </references>
      </pivotArea>
    </chartFormat>
    <chartFormat chart="1" format="719" series="1">
      <pivotArea type="data" outline="0" fieldPosition="0">
        <references count="4">
          <reference field="4294967294" count="1" selected="0">
            <x v="0"/>
          </reference>
          <reference field="10" count="1" selected="0">
            <x v="44"/>
          </reference>
          <reference field="11" count="1" selected="0">
            <x v="38"/>
          </reference>
          <reference field="12" count="1" selected="0">
            <x v="3"/>
          </reference>
        </references>
      </pivotArea>
    </chartFormat>
    <chartFormat chart="1" format="720" series="1">
      <pivotArea type="data" outline="0" fieldPosition="0">
        <references count="4">
          <reference field="4294967294" count="1" selected="0">
            <x v="0"/>
          </reference>
          <reference field="10" count="1" selected="0">
            <x v="45"/>
          </reference>
          <reference field="11" count="1" selected="0">
            <x v="33"/>
          </reference>
          <reference field="12" count="1" selected="0">
            <x v="3"/>
          </reference>
        </references>
      </pivotArea>
    </chartFormat>
    <chartFormat chart="1" format="721" series="1">
      <pivotArea type="data" outline="0" fieldPosition="0">
        <references count="4">
          <reference field="4294967294" count="1" selected="0">
            <x v="0"/>
          </reference>
          <reference field="10" count="1" selected="0">
            <x v="45"/>
          </reference>
          <reference field="11" count="1" selected="0">
            <x v="37"/>
          </reference>
          <reference field="12" count="1" selected="0">
            <x v="3"/>
          </reference>
        </references>
      </pivotArea>
    </chartFormat>
    <chartFormat chart="1" format="722" series="1">
      <pivotArea type="data" outline="0" fieldPosition="0">
        <references count="4">
          <reference field="4294967294" count="1" selected="0">
            <x v="0"/>
          </reference>
          <reference field="10" count="1" selected="0">
            <x v="90"/>
          </reference>
          <reference field="11" count="1" selected="0">
            <x v="36"/>
          </reference>
          <reference field="12" count="1" selected="0">
            <x v="3"/>
          </reference>
        </references>
      </pivotArea>
    </chartFormat>
    <chartFormat chart="1" format="723" series="1">
      <pivotArea type="data" outline="0" fieldPosition="0">
        <references count="4">
          <reference field="4294967294" count="1" selected="0">
            <x v="0"/>
          </reference>
          <reference field="10" count="1" selected="0">
            <x v="90"/>
          </reference>
          <reference field="11" count="1" selected="0">
            <x v="36"/>
          </reference>
          <reference field="12" count="1" selected="0">
            <x v="5"/>
          </reference>
        </references>
      </pivotArea>
    </chartFormat>
    <chartFormat chart="1" format="724" series="1">
      <pivotArea type="data" outline="0" fieldPosition="0">
        <references count="4">
          <reference field="4294967294" count="1" selected="0">
            <x v="0"/>
          </reference>
          <reference field="10" count="1" selected="0">
            <x v="40"/>
          </reference>
          <reference field="11" count="1" selected="0">
            <x v="33"/>
          </reference>
          <reference field="12" count="1" selected="0">
            <x v="2"/>
          </reference>
        </references>
      </pivotArea>
    </chartFormat>
    <chartFormat chart="1" format="725" series="1">
      <pivotArea type="data" outline="0" fieldPosition="0">
        <references count="4">
          <reference field="4294967294" count="1" selected="0">
            <x v="0"/>
          </reference>
          <reference field="10" count="1" selected="0">
            <x v="93"/>
          </reference>
          <reference field="11" count="1" selected="0">
            <x v="9"/>
          </reference>
          <reference field="12" count="1" selected="0">
            <x v="7"/>
          </reference>
        </references>
      </pivotArea>
    </chartFormat>
    <chartFormat chart="1" format="726" series="1">
      <pivotArea type="data" outline="0" fieldPosition="0">
        <references count="4">
          <reference field="4294967294" count="1" selected="0">
            <x v="0"/>
          </reference>
          <reference field="10" count="1" selected="0">
            <x v="93"/>
          </reference>
          <reference field="11" count="1" selected="0">
            <x v="15"/>
          </reference>
          <reference field="12" count="1" selected="0">
            <x v="7"/>
          </reference>
        </references>
      </pivotArea>
    </chartFormat>
    <chartFormat chart="1" format="727" series="1">
      <pivotArea type="data" outline="0" fieldPosition="0">
        <references count="4">
          <reference field="4294967294" count="1" selected="0">
            <x v="0"/>
          </reference>
          <reference field="10" count="1" selected="0">
            <x v="93"/>
          </reference>
          <reference field="11" count="1" selected="0">
            <x v="26"/>
          </reference>
          <reference field="12" count="1" selected="0">
            <x v="7"/>
          </reference>
        </references>
      </pivotArea>
    </chartFormat>
    <chartFormat chart="1" format="728" series="1">
      <pivotArea type="data" outline="0" fieldPosition="0">
        <references count="4">
          <reference field="4294967294" count="1" selected="0">
            <x v="0"/>
          </reference>
          <reference field="10" count="1" selected="0">
            <x v="94"/>
          </reference>
          <reference field="11" count="1" selected="0">
            <x v="9"/>
          </reference>
          <reference field="12" count="1" selected="0">
            <x v="7"/>
          </reference>
        </references>
      </pivotArea>
    </chartFormat>
    <chartFormat chart="1" format="729" series="1">
      <pivotArea type="data" outline="0" fieldPosition="0">
        <references count="4">
          <reference field="4294967294" count="1" selected="0">
            <x v="0"/>
          </reference>
          <reference field="10" count="1" selected="0">
            <x v="94"/>
          </reference>
          <reference field="11" count="1" selected="0">
            <x v="15"/>
          </reference>
          <reference field="12" count="1" selected="0">
            <x v="7"/>
          </reference>
        </references>
      </pivotArea>
    </chartFormat>
    <chartFormat chart="1" format="730" series="1">
      <pivotArea type="data" outline="0" fieldPosition="0">
        <references count="4">
          <reference field="4294967294" count="1" selected="0">
            <x v="0"/>
          </reference>
          <reference field="10" count="1" selected="0">
            <x v="94"/>
          </reference>
          <reference field="11" count="1" selected="0">
            <x v="26"/>
          </reference>
          <reference field="12"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52D178B-7F17-499C-AA1B-D1D18FF8BAC9}"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B159:O168" firstHeaderRow="1" firstDataRow="4" firstDataCol="1" rowPageCount="1" colPageCount="1"/>
  <pivotFields count="23">
    <pivotField axis="axisRow" showAll="0" defaultSubtotal="0">
      <items count="15">
        <item x="0"/>
        <item h="1" m="1" x="12"/>
        <item h="1" x="3"/>
        <item h="1" x="1"/>
        <item h="1" x="9"/>
        <item h="1" m="1" x="13"/>
        <item h="1" x="5"/>
        <item h="1" x="4"/>
        <item h="1" m="1" x="14"/>
        <item h="1" x="6"/>
        <item h="1" x="7"/>
        <item h="1" x="8"/>
        <item h="1" x="10"/>
        <item h="1" x="11"/>
        <item h="1" x="2"/>
      </items>
    </pivotField>
    <pivotField axis="axisPage" multipleItemSelectionAllowed="1" showAll="0" defaultSubtotal="0">
      <items count="28">
        <item x="15"/>
        <item x="16"/>
        <item x="24"/>
        <item x="21"/>
        <item x="8"/>
        <item x="9"/>
        <item m="1" x="26"/>
        <item x="0"/>
        <item x="20"/>
        <item x="18"/>
        <item x="1"/>
        <item x="12"/>
        <item m="1" x="27"/>
        <item x="13"/>
        <item x="17"/>
        <item x="10"/>
        <item x="14"/>
        <item x="2"/>
        <item x="4"/>
        <item x="5"/>
        <item x="6"/>
        <item x="3"/>
        <item x="22"/>
        <item x="23"/>
        <item x="11"/>
        <item x="7"/>
        <item x="19"/>
        <item m="1" x="25"/>
      </items>
    </pivotField>
    <pivotField showAll="0" defaultSubtotal="0"/>
    <pivotField showAll="0" defaultSubtotal="0"/>
    <pivotField dataField="1" numFmtId="1" showAll="0" defaultSubtotal="0"/>
    <pivotField axis="axisRow" showAll="0" defaultSubtotal="0">
      <items count="16">
        <item x="8"/>
        <item x="13"/>
        <item x="2"/>
        <item x="0"/>
        <item x="1"/>
        <item x="7"/>
        <item x="3"/>
        <item x="11"/>
        <item x="10"/>
        <item x="12"/>
        <item x="4"/>
        <item x="9"/>
        <item m="1" x="14"/>
        <item x="6"/>
        <item x="5"/>
        <item m="1" x="15"/>
      </items>
    </pivotField>
    <pivotField showAll="0" defaultSubtotal="0"/>
    <pivotField showAll="0" defaultSubtotal="0"/>
    <pivotField showAll="0" defaultSubtotal="0"/>
    <pivotField showAll="0" defaultSubtotal="0"/>
    <pivotField axis="axisCol" showAll="0" defaultSubtotal="0">
      <items count="95">
        <item x="8"/>
        <item x="24"/>
        <item x="25"/>
        <item x="26"/>
        <item x="27"/>
        <item x="28"/>
        <item x="29"/>
        <item x="30"/>
        <item x="6"/>
        <item x="64"/>
        <item x="65"/>
        <item x="66"/>
        <item m="1" x="73"/>
        <item x="48"/>
        <item x="13"/>
        <item x="11"/>
        <item x="0"/>
        <item x="2"/>
        <item x="1"/>
        <item x="5"/>
        <item x="51"/>
        <item m="1" x="75"/>
        <item x="22"/>
        <item m="1" x="79"/>
        <item x="50"/>
        <item x="21"/>
        <item x="49"/>
        <item x="15"/>
        <item x="39"/>
        <item x="40"/>
        <item x="41"/>
        <item x="42"/>
        <item x="43"/>
        <item m="1" x="84"/>
        <item m="1" x="88"/>
        <item x="61"/>
        <item x="62"/>
        <item m="1" x="85"/>
        <item x="53"/>
        <item x="35"/>
        <item m="1" x="70"/>
        <item m="1" x="74"/>
        <item x="17"/>
        <item m="1" x="71"/>
        <item m="1" x="76"/>
        <item x="63"/>
        <item m="1" x="72"/>
        <item m="1" x="86"/>
        <item x="44"/>
        <item x="45"/>
        <item x="46"/>
        <item x="47"/>
        <item x="19"/>
        <item x="56"/>
        <item x="4"/>
        <item m="1" x="78"/>
        <item m="1" x="82"/>
        <item x="20"/>
        <item x="14"/>
        <item x="16"/>
        <item x="18"/>
        <item m="1" x="77"/>
        <item x="23"/>
        <item m="1" x="89"/>
        <item m="1" x="91"/>
        <item m="1" x="90"/>
        <item x="37"/>
        <item m="1" x="83"/>
        <item x="31"/>
        <item x="32"/>
        <item m="1" x="92"/>
        <item m="1" x="94"/>
        <item m="1" x="93"/>
        <item x="67"/>
        <item x="52"/>
        <item x="7"/>
        <item x="68"/>
        <item x="12"/>
        <item x="10"/>
        <item x="59"/>
        <item x="60"/>
        <item x="58"/>
        <item m="1" x="80"/>
        <item x="54"/>
        <item x="9"/>
        <item m="1" x="87"/>
        <item m="1" x="81"/>
        <item x="69"/>
        <item x="36"/>
        <item x="38"/>
        <item x="3"/>
        <item x="33"/>
        <item x="34"/>
        <item x="55"/>
        <item x="57"/>
      </items>
    </pivotField>
    <pivotField axis="axisCol" showAll="0" defaultSubtotal="0">
      <items count="55">
        <item x="22"/>
        <item x="25"/>
        <item x="44"/>
        <item x="23"/>
        <item m="1" x="52"/>
        <item m="1" x="50"/>
        <item m="1" x="51"/>
        <item x="36"/>
        <item x="38"/>
        <item x="41"/>
        <item x="37"/>
        <item x="26"/>
        <item m="1" x="49"/>
        <item m="1" x="47"/>
        <item x="7"/>
        <item x="40"/>
        <item x="43"/>
        <item m="1" x="48"/>
        <item x="9"/>
        <item x="11"/>
        <item x="35"/>
        <item m="1" x="46"/>
        <item x="39"/>
        <item x="6"/>
        <item m="1" x="54"/>
        <item x="8"/>
        <item x="42"/>
        <item m="1" x="53"/>
        <item x="30"/>
        <item x="31"/>
        <item x="33"/>
        <item x="34"/>
        <item m="1" x="45"/>
        <item x="0"/>
        <item x="1"/>
        <item x="2"/>
        <item x="3"/>
        <item x="4"/>
        <item x="5"/>
        <item x="12"/>
        <item x="13"/>
        <item x="14"/>
        <item x="15"/>
        <item x="16"/>
        <item x="17"/>
        <item x="18"/>
        <item x="19"/>
        <item x="20"/>
        <item x="21"/>
        <item x="24"/>
        <item x="27"/>
        <item x="28"/>
        <item x="29"/>
        <item x="32"/>
        <item x="10"/>
      </items>
    </pivotField>
    <pivotField axis="axisCol" subtotalTop="0" showAll="0" defaultSubtotal="0">
      <items count="10">
        <item x="5"/>
        <item x="4"/>
        <item x="1"/>
        <item x="2"/>
        <item x="0"/>
        <item x="3"/>
        <item m="1" x="9"/>
        <item x="8"/>
        <item x="6"/>
        <item x="7"/>
      </items>
    </pivotField>
    <pivotField subtotalTop="0" showAll="0" defaultSubtotal="0"/>
    <pivotField showAll="0" defaultSubtotal="0"/>
    <pivotField showAll="0" defaultSubtotal="0"/>
    <pivotField showAll="0" defaultSubtotal="0"/>
    <pivotField showAll="0" defaultSubtotal="0"/>
    <pivotField numFmtId="175" showAll="0" defaultSubtotal="0"/>
    <pivotField numFmtId="175" showAll="0" defaultSubtotal="0"/>
    <pivotField numFmtId="175" subtotalTop="0" showAll="0" defaultSubtotal="0"/>
    <pivotField numFmtId="175" subtotalTop="0" showAll="0" defaultSubtotal="0"/>
    <pivotField numFmtId="175" subtotalTop="0" showAll="0" defaultSubtotal="0"/>
  </pivotFields>
  <rowFields count="2">
    <field x="0"/>
    <field x="5"/>
  </rowFields>
  <rowItems count="6">
    <i>
      <x/>
    </i>
    <i r="1">
      <x v="2"/>
    </i>
    <i r="1">
      <x v="3"/>
    </i>
    <i r="1">
      <x v="4"/>
    </i>
    <i r="1">
      <x v="6"/>
    </i>
    <i t="grand">
      <x/>
    </i>
  </rowItems>
  <colFields count="3">
    <field x="10"/>
    <field x="11"/>
    <field x="12"/>
  </colFields>
  <colItems count="13">
    <i>
      <x v="16"/>
      <x v="33"/>
      <x v="2"/>
    </i>
    <i r="2">
      <x v="4"/>
    </i>
    <i r="1">
      <x v="34"/>
      <x v="4"/>
    </i>
    <i r="1">
      <x v="35"/>
      <x v="2"/>
    </i>
    <i r="2">
      <x v="4"/>
    </i>
    <i>
      <x v="17"/>
      <x v="36"/>
      <x v="5"/>
    </i>
    <i>
      <x v="18"/>
      <x v="36"/>
      <x v="3"/>
    </i>
    <i>
      <x v="19"/>
      <x v="38"/>
      <x v="3"/>
    </i>
    <i>
      <x v="54"/>
      <x v="33"/>
      <x v="3"/>
    </i>
    <i r="1">
      <x v="37"/>
      <x v="3"/>
    </i>
    <i>
      <x v="90"/>
      <x v="36"/>
      <x v="3"/>
    </i>
    <i r="2">
      <x v="5"/>
    </i>
    <i t="grand">
      <x/>
    </i>
  </colItems>
  <pageFields count="1">
    <pageField fld="1" hier="-1"/>
  </pageFields>
  <dataFields count="1">
    <dataField name="Sum of Entry_AD_0" fld="4" baseField="0" baseItem="0" numFmtId="167"/>
  </dataFields>
  <formats count="1">
    <format dxfId="29">
      <pivotArea outline="0" collapsedLevelsAreSubtotals="1" fieldPosition="0"/>
    </format>
  </formats>
  <chartFormats count="174">
    <chartFormat chart="2" format="2" series="1">
      <pivotArea type="data" outline="0" fieldPosition="0">
        <references count="1">
          <reference field="4294967294" count="1" selected="0">
            <x v="0"/>
          </reference>
        </references>
      </pivotArea>
    </chartFormat>
    <chartFormat chart="2" format="148" series="1">
      <pivotArea type="data" outline="0" fieldPosition="0">
        <references count="3">
          <reference field="4294967294" count="1" selected="0">
            <x v="0"/>
          </reference>
          <reference field="10" count="1" selected="0">
            <x v="54"/>
          </reference>
          <reference field="11" count="1" selected="0">
            <x v="4"/>
          </reference>
        </references>
      </pivotArea>
    </chartFormat>
    <chartFormat chart="2" format="149" series="1">
      <pivotArea type="data" outline="0" fieldPosition="0">
        <references count="3">
          <reference field="4294967294" count="1" selected="0">
            <x v="0"/>
          </reference>
          <reference field="10" count="1" selected="0">
            <x v="41"/>
          </reference>
          <reference field="11" count="1" selected="0">
            <x v="5"/>
          </reference>
        </references>
      </pivotArea>
    </chartFormat>
    <chartFormat chart="2" format="150" series="1">
      <pivotArea type="data" outline="0" fieldPosition="0">
        <references count="3">
          <reference field="4294967294" count="1" selected="0">
            <x v="0"/>
          </reference>
          <reference field="10" count="1" selected="0">
            <x v="41"/>
          </reference>
          <reference field="11" count="1" selected="0">
            <x v="6"/>
          </reference>
        </references>
      </pivotArea>
    </chartFormat>
    <chartFormat chart="2" format="151" series="1">
      <pivotArea type="data" outline="0" fieldPosition="0">
        <references count="3">
          <reference field="4294967294" count="1" selected="0">
            <x v="0"/>
          </reference>
          <reference field="10" count="1" selected="0">
            <x v="43"/>
          </reference>
          <reference field="11" count="1" selected="0">
            <x v="11"/>
          </reference>
        </references>
      </pivotArea>
    </chartFormat>
    <chartFormat chart="2" format="152" series="1">
      <pivotArea type="data" outline="0" fieldPosition="0">
        <references count="3">
          <reference field="4294967294" count="1" selected="0">
            <x v="0"/>
          </reference>
          <reference field="10" count="1" selected="0">
            <x v="43"/>
          </reference>
          <reference field="11" count="1" selected="0">
            <x v="12"/>
          </reference>
        </references>
      </pivotArea>
    </chartFormat>
    <chartFormat chart="2" format="153" series="1">
      <pivotArea type="data" outline="0" fieldPosition="0">
        <references count="3">
          <reference field="4294967294" count="1" selected="0">
            <x v="0"/>
          </reference>
          <reference field="10" count="1" selected="0">
            <x v="43"/>
          </reference>
          <reference field="11" count="1" selected="0">
            <x v="17"/>
          </reference>
        </references>
      </pivotArea>
    </chartFormat>
    <chartFormat chart="2" format="154" series="1">
      <pivotArea type="data" outline="0" fieldPosition="0">
        <references count="3">
          <reference field="4294967294" count="1" selected="0">
            <x v="0"/>
          </reference>
          <reference field="10" count="1" selected="0">
            <x v="44"/>
          </reference>
          <reference field="11" count="1" selected="0">
            <x v="1"/>
          </reference>
        </references>
      </pivotArea>
    </chartFormat>
    <chartFormat chart="2" format="155" series="1">
      <pivotArea type="data" outline="0" fieldPosition="0">
        <references count="3">
          <reference field="4294967294" count="1" selected="0">
            <x v="0"/>
          </reference>
          <reference field="10" count="1" selected="0">
            <x v="46"/>
          </reference>
          <reference field="11" count="1" selected="0">
            <x v="17"/>
          </reference>
        </references>
      </pivotArea>
    </chartFormat>
    <chartFormat chart="2" format="156" series="1">
      <pivotArea type="data" outline="0" fieldPosition="0">
        <references count="3">
          <reference field="4294967294" count="1" selected="0">
            <x v="0"/>
          </reference>
          <reference field="10" count="1" selected="0">
            <x v="16"/>
          </reference>
          <reference field="11" count="1" selected="0">
            <x v="21"/>
          </reference>
        </references>
      </pivotArea>
    </chartFormat>
    <chartFormat chart="2" format="157" series="1">
      <pivotArea type="data" outline="0" fieldPosition="0">
        <references count="3">
          <reference field="4294967294" count="1" selected="0">
            <x v="0"/>
          </reference>
          <reference field="10" count="1" selected="0">
            <x v="39"/>
          </reference>
          <reference field="11" count="1" selected="0">
            <x v="32"/>
          </reference>
        </references>
      </pivotArea>
    </chartFormat>
    <chartFormat chart="2" format="158" series="1">
      <pivotArea type="data" outline="0" fieldPosition="0">
        <references count="3">
          <reference field="4294967294" count="1" selected="0">
            <x v="0"/>
          </reference>
          <reference field="10" count="1" selected="0">
            <x v="40"/>
          </reference>
          <reference field="11" count="1" selected="0">
            <x v="13"/>
          </reference>
        </references>
      </pivotArea>
    </chartFormat>
    <chartFormat chart="2" format="159" series="1">
      <pivotArea type="data" outline="0" fieldPosition="0">
        <references count="3">
          <reference field="4294967294" count="1" selected="0">
            <x v="0"/>
          </reference>
          <reference field="10" count="1" selected="0">
            <x v="54"/>
          </reference>
          <reference field="11" count="1" selected="0">
            <x v="13"/>
          </reference>
        </references>
      </pivotArea>
    </chartFormat>
    <chartFormat chart="2" format="160" series="1">
      <pivotArea type="data" outline="0" fieldPosition="0">
        <references count="3">
          <reference field="4294967294" count="1" selected="0">
            <x v="0"/>
          </reference>
          <reference field="10" count="1" selected="0">
            <x v="19"/>
          </reference>
          <reference field="11" count="1" selected="0">
            <x v="21"/>
          </reference>
        </references>
      </pivotArea>
    </chartFormat>
    <chartFormat chart="2" format="161" series="1">
      <pivotArea type="data" outline="0" fieldPosition="0">
        <references count="3">
          <reference field="4294967294" count="1" selected="0">
            <x v="0"/>
          </reference>
          <reference field="10" count="1" selected="0">
            <x v="18"/>
          </reference>
          <reference field="11" count="1" selected="0">
            <x v="13"/>
          </reference>
        </references>
      </pivotArea>
    </chartFormat>
    <chartFormat chart="2" format="162" series="1">
      <pivotArea type="data" outline="0" fieldPosition="0">
        <references count="3">
          <reference field="4294967294" count="1" selected="0">
            <x v="0"/>
          </reference>
          <reference field="10" count="1" selected="0">
            <x v="16"/>
          </reference>
          <reference field="11" count="1" selected="0">
            <x v="13"/>
          </reference>
        </references>
      </pivotArea>
    </chartFormat>
    <chartFormat chart="2" format="163" series="1">
      <pivotArea type="data" outline="0" fieldPosition="0">
        <references count="3">
          <reference field="4294967294" count="1" selected="0">
            <x v="0"/>
          </reference>
          <reference field="10" count="1" selected="0">
            <x v="19"/>
          </reference>
          <reference field="11" count="1" selected="0">
            <x v="13"/>
          </reference>
        </references>
      </pivotArea>
    </chartFormat>
    <chartFormat chart="2" format="164" series="1">
      <pivotArea type="data" outline="0" fieldPosition="0">
        <references count="3">
          <reference field="4294967294" count="1" selected="0">
            <x v="0"/>
          </reference>
          <reference field="10" count="1" selected="0">
            <x v="51"/>
          </reference>
          <reference field="11" count="1" selected="0">
            <x v="10"/>
          </reference>
        </references>
      </pivotArea>
    </chartFormat>
    <chartFormat chart="2" format="165" series="1">
      <pivotArea type="data" outline="0" fieldPosition="0">
        <references count="3">
          <reference field="4294967294" count="1" selected="0">
            <x v="0"/>
          </reference>
          <reference field="10" count="1" selected="0">
            <x v="51"/>
          </reference>
          <reference field="11" count="1" selected="0">
            <x v="20"/>
          </reference>
        </references>
      </pivotArea>
    </chartFormat>
    <chartFormat chart="2" format="166" series="1">
      <pivotArea type="data" outline="0" fieldPosition="0">
        <references count="3">
          <reference field="4294967294" count="1" selected="0">
            <x v="0"/>
          </reference>
          <reference field="10" count="1" selected="0">
            <x v="51"/>
          </reference>
          <reference field="11" count="1" selected="0">
            <x v="22"/>
          </reference>
        </references>
      </pivotArea>
    </chartFormat>
    <chartFormat chart="2" format="167" series="1">
      <pivotArea type="data" outline="0" fieldPosition="0">
        <references count="3">
          <reference field="4294967294" count="1" selected="0">
            <x v="0"/>
          </reference>
          <reference field="10" count="1" selected="0">
            <x v="48"/>
          </reference>
          <reference field="11" count="1" selected="0">
            <x v="32"/>
          </reference>
        </references>
      </pivotArea>
    </chartFormat>
    <chartFormat chart="2" format="168" series="1">
      <pivotArea type="data" outline="0" fieldPosition="0">
        <references count="3">
          <reference field="4294967294" count="1" selected="0">
            <x v="0"/>
          </reference>
          <reference field="10" count="1" selected="0">
            <x v="31"/>
          </reference>
          <reference field="11" count="1" selected="0">
            <x v="32"/>
          </reference>
        </references>
      </pivotArea>
    </chartFormat>
    <chartFormat chart="2" format="169" series="1">
      <pivotArea type="data" outline="0" fieldPosition="0">
        <references count="3">
          <reference field="4294967294" count="1" selected="0">
            <x v="0"/>
          </reference>
          <reference field="10" count="1" selected="0">
            <x v="50"/>
          </reference>
          <reference field="11" count="1" selected="0">
            <x v="32"/>
          </reference>
        </references>
      </pivotArea>
    </chartFormat>
    <chartFormat chart="2" format="170" series="1">
      <pivotArea type="data" outline="0" fieldPosition="0">
        <references count="3">
          <reference field="4294967294" count="1" selected="0">
            <x v="0"/>
          </reference>
          <reference field="10" count="1" selected="0">
            <x v="28"/>
          </reference>
          <reference field="11" count="1" selected="0">
            <x v="32"/>
          </reference>
        </references>
      </pivotArea>
    </chartFormat>
    <chartFormat chart="2" format="171" series="1">
      <pivotArea type="data" outline="0" fieldPosition="0">
        <references count="3">
          <reference field="4294967294" count="1" selected="0">
            <x v="0"/>
          </reference>
          <reference field="10" count="1" selected="0">
            <x v="49"/>
          </reference>
          <reference field="11" count="1" selected="0">
            <x v="32"/>
          </reference>
        </references>
      </pivotArea>
    </chartFormat>
    <chartFormat chart="2" format="172" series="1">
      <pivotArea type="data" outline="0" fieldPosition="0">
        <references count="3">
          <reference field="4294967294" count="1" selected="0">
            <x v="0"/>
          </reference>
          <reference field="10" count="1" selected="0">
            <x v="38"/>
          </reference>
          <reference field="11" count="1" selected="0">
            <x v="15"/>
          </reference>
        </references>
      </pivotArea>
    </chartFormat>
    <chartFormat chart="2" format="173" series="1">
      <pivotArea type="data" outline="0" fieldPosition="0">
        <references count="3">
          <reference field="4294967294" count="1" selected="0">
            <x v="0"/>
          </reference>
          <reference field="10" count="1" selected="0">
            <x v="38"/>
          </reference>
          <reference field="11" count="1" selected="0">
            <x v="26"/>
          </reference>
        </references>
      </pivotArea>
    </chartFormat>
    <chartFormat chart="2" format="174" series="1">
      <pivotArea type="data" outline="0" fieldPosition="0">
        <references count="3">
          <reference field="4294967294" count="1" selected="0">
            <x v="0"/>
          </reference>
          <reference field="10" count="1" selected="0">
            <x v="53"/>
          </reference>
          <reference field="11" count="1" selected="0">
            <x v="9"/>
          </reference>
        </references>
      </pivotArea>
    </chartFormat>
    <chartFormat chart="2" format="175" series="1">
      <pivotArea type="data" outline="0" fieldPosition="0">
        <references count="3">
          <reference field="4294967294" count="1" selected="0">
            <x v="0"/>
          </reference>
          <reference field="10" count="1" selected="0">
            <x v="53"/>
          </reference>
          <reference field="11" count="1" selected="0">
            <x v="15"/>
          </reference>
        </references>
      </pivotArea>
    </chartFormat>
    <chartFormat chart="2" format="176" series="1">
      <pivotArea type="data" outline="0" fieldPosition="0">
        <references count="3">
          <reference field="4294967294" count="1" selected="0">
            <x v="0"/>
          </reference>
          <reference field="10" count="1" selected="0">
            <x v="53"/>
          </reference>
          <reference field="11" count="1" selected="0">
            <x v="26"/>
          </reference>
        </references>
      </pivotArea>
    </chartFormat>
    <chartFormat chart="2" format="177" series="1">
      <pivotArea type="data" outline="0" fieldPosition="0">
        <references count="3">
          <reference field="4294967294" count="1" selected="0">
            <x v="0"/>
          </reference>
          <reference field="10" count="1" selected="0">
            <x v="74"/>
          </reference>
          <reference field="11" count="1" selected="0">
            <x v="9"/>
          </reference>
        </references>
      </pivotArea>
    </chartFormat>
    <chartFormat chart="2" format="178" series="1">
      <pivotArea type="data" outline="0" fieldPosition="0">
        <references count="3">
          <reference field="4294967294" count="1" selected="0">
            <x v="0"/>
          </reference>
          <reference field="10" count="1" selected="0">
            <x v="74"/>
          </reference>
          <reference field="11" count="1" selected="0">
            <x v="15"/>
          </reference>
        </references>
      </pivotArea>
    </chartFormat>
    <chartFormat chart="2" format="179" series="1">
      <pivotArea type="data" outline="0" fieldPosition="0">
        <references count="3">
          <reference field="4294967294" count="1" selected="0">
            <x v="0"/>
          </reference>
          <reference field="10" count="1" selected="0">
            <x v="74"/>
          </reference>
          <reference field="11" count="1" selected="0">
            <x v="26"/>
          </reference>
        </references>
      </pivotArea>
    </chartFormat>
    <chartFormat chart="2" format="180" series="1">
      <pivotArea type="data" outline="0" fieldPosition="0">
        <references count="3">
          <reference field="4294967294" count="1" selected="0">
            <x v="0"/>
          </reference>
          <reference field="10" count="1" selected="0">
            <x v="79"/>
          </reference>
          <reference field="11" count="1" selected="0">
            <x v="32"/>
          </reference>
        </references>
      </pivotArea>
    </chartFormat>
    <chartFormat chart="2" format="181" series="1">
      <pivotArea type="data" outline="0" fieldPosition="0">
        <references count="3">
          <reference field="4294967294" count="1" selected="0">
            <x v="0"/>
          </reference>
          <reference field="10" count="1" selected="0">
            <x v="80"/>
          </reference>
          <reference field="11" count="1" selected="0">
            <x v="32"/>
          </reference>
        </references>
      </pivotArea>
    </chartFormat>
    <chartFormat chart="2" format="182" series="1">
      <pivotArea type="data" outline="0" fieldPosition="0">
        <references count="3">
          <reference field="4294967294" count="1" selected="0">
            <x v="0"/>
          </reference>
          <reference field="10" count="1" selected="0">
            <x v="81"/>
          </reference>
          <reference field="11" count="1" selected="0">
            <x v="32"/>
          </reference>
        </references>
      </pivotArea>
    </chartFormat>
    <chartFormat chart="2" format="183" series="1">
      <pivotArea type="data" outline="0" fieldPosition="0">
        <references count="3">
          <reference field="4294967294" count="1" selected="0">
            <x v="0"/>
          </reference>
          <reference field="10" count="1" selected="0">
            <x v="83"/>
          </reference>
          <reference field="11" count="1" selected="0">
            <x v="9"/>
          </reference>
        </references>
      </pivotArea>
    </chartFormat>
    <chartFormat chart="2" format="184" series="1">
      <pivotArea type="data" outline="0" fieldPosition="0">
        <references count="3">
          <reference field="4294967294" count="1" selected="0">
            <x v="0"/>
          </reference>
          <reference field="10" count="1" selected="0">
            <x v="83"/>
          </reference>
          <reference field="11" count="1" selected="0">
            <x v="15"/>
          </reference>
        </references>
      </pivotArea>
    </chartFormat>
    <chartFormat chart="2" format="185" series="1">
      <pivotArea type="data" outline="0" fieldPosition="0">
        <references count="3">
          <reference field="4294967294" count="1" selected="0">
            <x v="0"/>
          </reference>
          <reference field="10" count="1" selected="0">
            <x v="83"/>
          </reference>
          <reference field="11" count="1" selected="0">
            <x v="26"/>
          </reference>
        </references>
      </pivotArea>
    </chartFormat>
    <chartFormat chart="2" format="186" series="1">
      <pivotArea type="data" outline="0" fieldPosition="0">
        <references count="3">
          <reference field="4294967294" count="1" selected="0">
            <x v="0"/>
          </reference>
          <reference field="10" count="1" selected="0">
            <x v="58"/>
          </reference>
          <reference field="11" count="1" selected="0">
            <x v="25"/>
          </reference>
        </references>
      </pivotArea>
    </chartFormat>
    <chartFormat chart="2" format="187" series="1">
      <pivotArea type="data" outline="0" fieldPosition="0">
        <references count="3">
          <reference field="4294967294" count="1" selected="0">
            <x v="0"/>
          </reference>
          <reference field="10" count="1" selected="0">
            <x v="75"/>
          </reference>
          <reference field="11" count="1" selected="0">
            <x v="14"/>
          </reference>
        </references>
      </pivotArea>
    </chartFormat>
    <chartFormat chart="2" format="188" series="1">
      <pivotArea type="data" outline="0" fieldPosition="0">
        <references count="3">
          <reference field="4294967294" count="1" selected="0">
            <x v="0"/>
          </reference>
          <reference field="10" count="1" selected="0">
            <x v="75"/>
          </reference>
          <reference field="11" count="1" selected="0">
            <x v="23"/>
          </reference>
        </references>
      </pivotArea>
    </chartFormat>
    <chartFormat chart="2" format="189" series="1">
      <pivotArea type="data" outline="0" fieldPosition="0">
        <references count="3">
          <reference field="4294967294" count="1" selected="0">
            <x v="0"/>
          </reference>
          <reference field="10" count="1" selected="0">
            <x v="77"/>
          </reference>
          <reference field="11" count="1" selected="0">
            <x v="14"/>
          </reference>
        </references>
      </pivotArea>
    </chartFormat>
    <chartFormat chart="2" format="190" series="1">
      <pivotArea type="data" outline="0" fieldPosition="0">
        <references count="3">
          <reference field="4294967294" count="1" selected="0">
            <x v="0"/>
          </reference>
          <reference field="10" count="1" selected="0">
            <x v="77"/>
          </reference>
          <reference field="11" count="1" selected="0">
            <x v="23"/>
          </reference>
        </references>
      </pivotArea>
    </chartFormat>
    <chartFormat chart="2" format="191" series="1">
      <pivotArea type="data" outline="0" fieldPosition="0">
        <references count="3">
          <reference field="4294967294" count="1" selected="0">
            <x v="0"/>
          </reference>
          <reference field="10" count="1" selected="0">
            <x v="78"/>
          </reference>
          <reference field="11" count="1" selected="0">
            <x v="14"/>
          </reference>
        </references>
      </pivotArea>
    </chartFormat>
    <chartFormat chart="2" format="192" series="1">
      <pivotArea type="data" outline="0" fieldPosition="0">
        <references count="3">
          <reference field="4294967294" count="1" selected="0">
            <x v="0"/>
          </reference>
          <reference field="10" count="1" selected="0">
            <x v="78"/>
          </reference>
          <reference field="11" count="1" selected="0">
            <x v="23"/>
          </reference>
        </references>
      </pivotArea>
    </chartFormat>
    <chartFormat chart="2" format="193" series="1">
      <pivotArea type="data" outline="0" fieldPosition="0">
        <references count="3">
          <reference field="4294967294" count="1" selected="0">
            <x v="0"/>
          </reference>
          <reference field="10" count="1" selected="0">
            <x v="84"/>
          </reference>
          <reference field="11" count="1" selected="0">
            <x v="14"/>
          </reference>
        </references>
      </pivotArea>
    </chartFormat>
    <chartFormat chart="2" format="194" series="1">
      <pivotArea type="data" outline="0" fieldPosition="0">
        <references count="3">
          <reference field="4294967294" count="1" selected="0">
            <x v="0"/>
          </reference>
          <reference field="10" count="1" selected="0">
            <x v="84"/>
          </reference>
          <reference field="11" count="1" selected="0">
            <x v="25"/>
          </reference>
        </references>
      </pivotArea>
    </chartFormat>
    <chartFormat chart="2" format="198" series="1">
      <pivotArea type="data" outline="0" fieldPosition="0">
        <references count="4">
          <reference field="4294967294" count="1" selected="0">
            <x v="0"/>
          </reference>
          <reference field="10" count="1" selected="0">
            <x v="54"/>
          </reference>
          <reference field="11" count="1" selected="0">
            <x v="37"/>
          </reference>
          <reference field="12" count="1" selected="0">
            <x v="3"/>
          </reference>
        </references>
      </pivotArea>
    </chartFormat>
    <chartFormat chart="2" format="199" series="1">
      <pivotArea type="data" outline="0" fieldPosition="0">
        <references count="4">
          <reference field="4294967294" count="1" selected="0">
            <x v="0"/>
          </reference>
          <reference field="10" count="1" selected="0">
            <x v="90"/>
          </reference>
          <reference field="11" count="1" selected="0">
            <x v="36"/>
          </reference>
          <reference field="12" count="1" selected="0">
            <x v="3"/>
          </reference>
        </references>
      </pivotArea>
    </chartFormat>
    <chartFormat chart="2" format="200" series="1">
      <pivotArea type="data" outline="0" fieldPosition="0">
        <references count="4">
          <reference field="4294967294" count="1" selected="0">
            <x v="0"/>
          </reference>
          <reference field="10" count="1" selected="0">
            <x v="90"/>
          </reference>
          <reference field="11" count="1" selected="0">
            <x v="36"/>
          </reference>
          <reference field="12" count="1" selected="0">
            <x v="5"/>
          </reference>
        </references>
      </pivotArea>
    </chartFormat>
    <chartFormat chart="2" format="201" series="1">
      <pivotArea type="data" outline="0" fieldPosition="0">
        <references count="4">
          <reference field="4294967294" count="1" selected="0">
            <x v="0"/>
          </reference>
          <reference field="10" count="1" selected="0">
            <x v="77"/>
          </reference>
          <reference field="11" count="1" selected="0">
            <x v="14"/>
          </reference>
          <reference field="12" count="1" selected="0">
            <x v="0"/>
          </reference>
        </references>
      </pivotArea>
    </chartFormat>
    <chartFormat chart="2" format="202" series="1">
      <pivotArea type="data" outline="0" fieldPosition="0">
        <references count="4">
          <reference field="4294967294" count="1" selected="0">
            <x v="0"/>
          </reference>
          <reference field="10" count="1" selected="0">
            <x v="77"/>
          </reference>
          <reference field="11" count="1" selected="0">
            <x v="23"/>
          </reference>
          <reference field="12" count="1" selected="0">
            <x v="1"/>
          </reference>
        </references>
      </pivotArea>
    </chartFormat>
    <chartFormat chart="2" format="203" series="1">
      <pivotArea type="data" outline="0" fieldPosition="0">
        <references count="4">
          <reference field="4294967294" count="1" selected="0">
            <x v="0"/>
          </reference>
          <reference field="10" count="1" selected="0">
            <x v="78"/>
          </reference>
          <reference field="11" count="1" selected="0">
            <x v="14"/>
          </reference>
          <reference field="12" count="1" selected="0">
            <x v="0"/>
          </reference>
        </references>
      </pivotArea>
    </chartFormat>
    <chartFormat chart="2" format="204" series="1">
      <pivotArea type="data" outline="0" fieldPosition="0">
        <references count="4">
          <reference field="4294967294" count="1" selected="0">
            <x v="0"/>
          </reference>
          <reference field="10" count="1" selected="0">
            <x v="78"/>
          </reference>
          <reference field="11" count="1" selected="0">
            <x v="23"/>
          </reference>
          <reference field="12" count="1" selected="0">
            <x v="1"/>
          </reference>
        </references>
      </pivotArea>
    </chartFormat>
    <chartFormat chart="2" format="205" series="1">
      <pivotArea type="data" outline="0" fieldPosition="0">
        <references count="4">
          <reference field="4294967294" count="1" selected="0">
            <x v="0"/>
          </reference>
          <reference field="10" count="1" selected="0">
            <x v="84"/>
          </reference>
          <reference field="11" count="1" selected="0">
            <x v="14"/>
          </reference>
          <reference field="12" count="1" selected="0">
            <x v="0"/>
          </reference>
        </references>
      </pivotArea>
    </chartFormat>
    <chartFormat chart="2" format="206" series="1">
      <pivotArea type="data" outline="0" fieldPosition="0">
        <references count="4">
          <reference field="4294967294" count="1" selected="0">
            <x v="0"/>
          </reference>
          <reference field="10" count="1" selected="0">
            <x v="84"/>
          </reference>
          <reference field="11" count="1" selected="0">
            <x v="25"/>
          </reference>
          <reference field="12" count="1" selected="0">
            <x v="0"/>
          </reference>
        </references>
      </pivotArea>
    </chartFormat>
    <chartFormat chart="2" format="207" series="1">
      <pivotArea type="data" outline="0" fieldPosition="0">
        <references count="4">
          <reference field="4294967294" count="1" selected="0">
            <x v="0"/>
          </reference>
          <reference field="10" count="1" selected="0">
            <x v="69"/>
          </reference>
          <reference field="11" count="1" selected="0">
            <x v="47"/>
          </reference>
          <reference field="12" count="1" selected="0">
            <x v="5"/>
          </reference>
        </references>
      </pivotArea>
    </chartFormat>
    <chartFormat chart="2" format="208" series="1">
      <pivotArea type="data" outline="0" fieldPosition="0">
        <references count="4">
          <reference field="4294967294" count="1" selected="0">
            <x v="0"/>
          </reference>
          <reference field="10" count="1" selected="0">
            <x v="6"/>
          </reference>
          <reference field="11" count="1" selected="0">
            <x v="44"/>
          </reference>
          <reference field="12" count="1" selected="0">
            <x v="5"/>
          </reference>
        </references>
      </pivotArea>
    </chartFormat>
    <chartFormat chart="2" format="209" series="1">
      <pivotArea type="data" outline="0" fieldPosition="0">
        <references count="4">
          <reference field="4294967294" count="1" selected="0">
            <x v="0"/>
          </reference>
          <reference field="10" count="1" selected="0">
            <x v="92"/>
          </reference>
          <reference field="11" count="1" selected="0">
            <x v="48"/>
          </reference>
          <reference field="12" count="1" selected="0">
            <x v="3"/>
          </reference>
        </references>
      </pivotArea>
    </chartFormat>
    <chartFormat chart="2" format="210" series="1">
      <pivotArea type="data" outline="0" fieldPosition="0">
        <references count="4">
          <reference field="4294967294" count="1" selected="0">
            <x v="0"/>
          </reference>
          <reference field="10" count="1" selected="0">
            <x v="92"/>
          </reference>
          <reference field="11" count="1" selected="0">
            <x v="48"/>
          </reference>
          <reference field="12" count="1" selected="0">
            <x v="5"/>
          </reference>
        </references>
      </pivotArea>
    </chartFormat>
    <chartFormat chart="2" format="211" series="1">
      <pivotArea type="data" outline="0" fieldPosition="0">
        <references count="4">
          <reference field="4294967294" count="1" selected="0">
            <x v="0"/>
          </reference>
          <reference field="10" count="1" selected="0">
            <x v="92"/>
          </reference>
          <reference field="11" count="1" selected="0">
            <x v="49"/>
          </reference>
          <reference field="12" count="1" selected="0">
            <x v="3"/>
          </reference>
        </references>
      </pivotArea>
    </chartFormat>
    <chartFormat chart="2" format="212" series="1">
      <pivotArea type="data" outline="0" fieldPosition="0">
        <references count="4">
          <reference field="4294967294" count="1" selected="0">
            <x v="0"/>
          </reference>
          <reference field="10" count="1" selected="0">
            <x v="51"/>
          </reference>
          <reference field="11" count="1" selected="0">
            <x v="10"/>
          </reference>
          <reference field="12" count="1" selected="0">
            <x v="6"/>
          </reference>
        </references>
      </pivotArea>
    </chartFormat>
    <chartFormat chart="2" format="213" series="1">
      <pivotArea type="data" outline="0" fieldPosition="0">
        <references count="4">
          <reference field="4294967294" count="1" selected="0">
            <x v="0"/>
          </reference>
          <reference field="10" count="1" selected="0">
            <x v="51"/>
          </reference>
          <reference field="11" count="1" selected="0">
            <x v="20"/>
          </reference>
          <reference field="12" count="1" selected="0">
            <x v="6"/>
          </reference>
        </references>
      </pivotArea>
    </chartFormat>
    <chartFormat chart="2" format="214" series="1">
      <pivotArea type="data" outline="0" fieldPosition="0">
        <references count="4">
          <reference field="4294967294" count="1" selected="0">
            <x v="0"/>
          </reference>
          <reference field="10" count="1" selected="0">
            <x v="51"/>
          </reference>
          <reference field="11" count="1" selected="0">
            <x v="22"/>
          </reference>
          <reference field="12" count="1" selected="0">
            <x v="6"/>
          </reference>
        </references>
      </pivotArea>
    </chartFormat>
    <chartFormat chart="2" format="215" series="1">
      <pivotArea type="data" outline="0" fieldPosition="0">
        <references count="4">
          <reference field="4294967294" count="1" selected="0">
            <x v="0"/>
          </reference>
          <reference field="10" count="1" selected="0">
            <x v="48"/>
          </reference>
          <reference field="11" count="1" selected="0">
            <x v="32"/>
          </reference>
          <reference field="12" count="1" selected="0">
            <x v="6"/>
          </reference>
        </references>
      </pivotArea>
    </chartFormat>
    <chartFormat chart="2" format="216" series="1">
      <pivotArea type="data" outline="0" fieldPosition="0">
        <references count="4">
          <reference field="4294967294" count="1" selected="0">
            <x v="0"/>
          </reference>
          <reference field="10" count="1" selected="0">
            <x v="31"/>
          </reference>
          <reference field="11" count="1" selected="0">
            <x v="32"/>
          </reference>
          <reference field="12" count="1" selected="0">
            <x v="6"/>
          </reference>
        </references>
      </pivotArea>
    </chartFormat>
    <chartFormat chart="2" format="217" series="1">
      <pivotArea type="data" outline="0" fieldPosition="0">
        <references count="4">
          <reference field="4294967294" count="1" selected="0">
            <x v="0"/>
          </reference>
          <reference field="10" count="1" selected="0">
            <x v="50"/>
          </reference>
          <reference field="11" count="1" selected="0">
            <x v="32"/>
          </reference>
          <reference field="12" count="1" selected="0">
            <x v="6"/>
          </reference>
        </references>
      </pivotArea>
    </chartFormat>
    <chartFormat chart="2" format="218" series="1">
      <pivotArea type="data" outline="0" fieldPosition="0">
        <references count="4">
          <reference field="4294967294" count="1" selected="0">
            <x v="0"/>
          </reference>
          <reference field="10" count="1" selected="0">
            <x v="28"/>
          </reference>
          <reference field="11" count="1" selected="0">
            <x v="32"/>
          </reference>
          <reference field="12" count="1" selected="0">
            <x v="6"/>
          </reference>
        </references>
      </pivotArea>
    </chartFormat>
    <chartFormat chart="2" format="219" series="1">
      <pivotArea type="data" outline="0" fieldPosition="0">
        <references count="4">
          <reference field="4294967294" count="1" selected="0">
            <x v="0"/>
          </reference>
          <reference field="10" count="1" selected="0">
            <x v="49"/>
          </reference>
          <reference field="11" count="1" selected="0">
            <x v="32"/>
          </reference>
          <reference field="12" count="1" selected="0">
            <x v="6"/>
          </reference>
        </references>
      </pivotArea>
    </chartFormat>
    <chartFormat chart="2" format="220" series="1">
      <pivotArea type="data" outline="0" fieldPosition="0">
        <references count="4">
          <reference field="4294967294" count="1" selected="0">
            <x v="0"/>
          </reference>
          <reference field="10" count="1" selected="0">
            <x v="38"/>
          </reference>
          <reference field="11" count="1" selected="0">
            <x v="15"/>
          </reference>
          <reference field="12" count="1" selected="0">
            <x v="7"/>
          </reference>
        </references>
      </pivotArea>
    </chartFormat>
    <chartFormat chart="2" format="221" series="1">
      <pivotArea type="data" outline="0" fieldPosition="0">
        <references count="4">
          <reference field="4294967294" count="1" selected="0">
            <x v="0"/>
          </reference>
          <reference field="10" count="1" selected="0">
            <x v="38"/>
          </reference>
          <reference field="11" count="1" selected="0">
            <x v="26"/>
          </reference>
          <reference field="12" count="1" selected="0">
            <x v="7"/>
          </reference>
        </references>
      </pivotArea>
    </chartFormat>
    <chartFormat chart="2" format="222" series="1">
      <pivotArea type="data" outline="0" fieldPosition="0">
        <references count="4">
          <reference field="4294967294" count="1" selected="0">
            <x v="0"/>
          </reference>
          <reference field="10" count="1" selected="0">
            <x v="53"/>
          </reference>
          <reference field="11" count="1" selected="0">
            <x v="9"/>
          </reference>
          <reference field="12" count="1" selected="0">
            <x v="7"/>
          </reference>
        </references>
      </pivotArea>
    </chartFormat>
    <chartFormat chart="2" format="223" series="1">
      <pivotArea type="data" outline="0" fieldPosition="0">
        <references count="4">
          <reference field="4294967294" count="1" selected="0">
            <x v="0"/>
          </reference>
          <reference field="10" count="1" selected="0">
            <x v="53"/>
          </reference>
          <reference field="11" count="1" selected="0">
            <x v="15"/>
          </reference>
          <reference field="12" count="1" selected="0">
            <x v="7"/>
          </reference>
        </references>
      </pivotArea>
    </chartFormat>
    <chartFormat chart="2" format="224" series="1">
      <pivotArea type="data" outline="0" fieldPosition="0">
        <references count="4">
          <reference field="4294967294" count="1" selected="0">
            <x v="0"/>
          </reference>
          <reference field="10" count="1" selected="0">
            <x v="53"/>
          </reference>
          <reference field="11" count="1" selected="0">
            <x v="26"/>
          </reference>
          <reference field="12" count="1" selected="0">
            <x v="7"/>
          </reference>
        </references>
      </pivotArea>
    </chartFormat>
    <chartFormat chart="2" format="225" series="1">
      <pivotArea type="data" outline="0" fieldPosition="0">
        <references count="4">
          <reference field="4294967294" count="1" selected="0">
            <x v="0"/>
          </reference>
          <reference field="10" count="1" selected="0">
            <x v="74"/>
          </reference>
          <reference field="11" count="1" selected="0">
            <x v="9"/>
          </reference>
          <reference field="12" count="1" selected="0">
            <x v="7"/>
          </reference>
        </references>
      </pivotArea>
    </chartFormat>
    <chartFormat chart="2" format="226" series="1">
      <pivotArea type="data" outline="0" fieldPosition="0">
        <references count="4">
          <reference field="4294967294" count="1" selected="0">
            <x v="0"/>
          </reference>
          <reference field="10" count="1" selected="0">
            <x v="74"/>
          </reference>
          <reference field="11" count="1" selected="0">
            <x v="15"/>
          </reference>
          <reference field="12" count="1" selected="0">
            <x v="7"/>
          </reference>
        </references>
      </pivotArea>
    </chartFormat>
    <chartFormat chart="2" format="227" series="1">
      <pivotArea type="data" outline="0" fieldPosition="0">
        <references count="4">
          <reference field="4294967294" count="1" selected="0">
            <x v="0"/>
          </reference>
          <reference field="10" count="1" selected="0">
            <x v="74"/>
          </reference>
          <reference field="11" count="1" selected="0">
            <x v="26"/>
          </reference>
          <reference field="12" count="1" selected="0">
            <x v="7"/>
          </reference>
        </references>
      </pivotArea>
    </chartFormat>
    <chartFormat chart="2" format="228" series="1">
      <pivotArea type="data" outline="0" fieldPosition="0">
        <references count="4">
          <reference field="4294967294" count="1" selected="0">
            <x v="0"/>
          </reference>
          <reference field="10" count="1" selected="0">
            <x v="79"/>
          </reference>
          <reference field="11" count="1" selected="0">
            <x v="53"/>
          </reference>
          <reference field="12" count="1" selected="0">
            <x v="7"/>
          </reference>
        </references>
      </pivotArea>
    </chartFormat>
    <chartFormat chart="2" format="229" series="1">
      <pivotArea type="data" outline="0" fieldPosition="0">
        <references count="4">
          <reference field="4294967294" count="1" selected="0">
            <x v="0"/>
          </reference>
          <reference field="10" count="1" selected="0">
            <x v="80"/>
          </reference>
          <reference field="11" count="1" selected="0">
            <x v="53"/>
          </reference>
          <reference field="12" count="1" selected="0">
            <x v="7"/>
          </reference>
        </references>
      </pivotArea>
    </chartFormat>
    <chartFormat chart="2" format="230" series="1">
      <pivotArea type="data" outline="0" fieldPosition="0">
        <references count="4">
          <reference field="4294967294" count="1" selected="0">
            <x v="0"/>
          </reference>
          <reference field="10" count="1" selected="0">
            <x v="81"/>
          </reference>
          <reference field="11" count="1" selected="0">
            <x v="53"/>
          </reference>
          <reference field="12" count="1" selected="0">
            <x v="7"/>
          </reference>
        </references>
      </pivotArea>
    </chartFormat>
    <chartFormat chart="2" format="231" series="1">
      <pivotArea type="data" outline="0" fieldPosition="0">
        <references count="4">
          <reference field="4294967294" count="1" selected="0">
            <x v="0"/>
          </reference>
          <reference field="10" count="1" selected="0">
            <x v="83"/>
          </reference>
          <reference field="11" count="1" selected="0">
            <x v="9"/>
          </reference>
          <reference field="12" count="1" selected="0">
            <x v="7"/>
          </reference>
        </references>
      </pivotArea>
    </chartFormat>
    <chartFormat chart="2" format="232" series="1">
      <pivotArea type="data" outline="0" fieldPosition="0">
        <references count="4">
          <reference field="4294967294" count="1" selected="0">
            <x v="0"/>
          </reference>
          <reference field="10" count="1" selected="0">
            <x v="83"/>
          </reference>
          <reference field="11" count="1" selected="0">
            <x v="15"/>
          </reference>
          <reference field="12" count="1" selected="0">
            <x v="7"/>
          </reference>
        </references>
      </pivotArea>
    </chartFormat>
    <chartFormat chart="2" format="233" series="1">
      <pivotArea type="data" outline="0" fieldPosition="0">
        <references count="4">
          <reference field="4294967294" count="1" selected="0">
            <x v="0"/>
          </reference>
          <reference field="10" count="1" selected="0">
            <x v="83"/>
          </reference>
          <reference field="11" count="1" selected="0">
            <x v="26"/>
          </reference>
          <reference field="12" count="1" selected="0">
            <x v="7"/>
          </reference>
        </references>
      </pivotArea>
    </chartFormat>
    <chartFormat chart="2" format="234" series="1">
      <pivotArea type="data" outline="0" fieldPosition="0">
        <references count="4">
          <reference field="4294967294" count="1" selected="0">
            <x v="0"/>
          </reference>
          <reference field="10" count="1" selected="0">
            <x v="36"/>
          </reference>
          <reference field="11" count="1" selected="0">
            <x v="9"/>
          </reference>
          <reference field="12" count="1" selected="0">
            <x v="7"/>
          </reference>
        </references>
      </pivotArea>
    </chartFormat>
    <chartFormat chart="2" format="235" series="1">
      <pivotArea type="data" outline="0" fieldPosition="0">
        <references count="4">
          <reference field="4294967294" count="1" selected="0">
            <x v="0"/>
          </reference>
          <reference field="10" count="1" selected="0">
            <x v="36"/>
          </reference>
          <reference field="11" count="1" selected="0">
            <x v="16"/>
          </reference>
          <reference field="12" count="1" selected="0">
            <x v="7"/>
          </reference>
        </references>
      </pivotArea>
    </chartFormat>
    <chartFormat chart="2" format="236" series="1">
      <pivotArea type="data" outline="0" fieldPosition="0">
        <references count="4">
          <reference field="4294967294" count="1" selected="0">
            <x v="0"/>
          </reference>
          <reference field="10" count="1" selected="0">
            <x v="45"/>
          </reference>
          <reference field="11" count="1" selected="0">
            <x v="2"/>
          </reference>
          <reference field="12" count="1" selected="0">
            <x v="7"/>
          </reference>
        </references>
      </pivotArea>
    </chartFormat>
    <chartFormat chart="2" format="237" series="1">
      <pivotArea type="data" outline="0" fieldPosition="0">
        <references count="4">
          <reference field="4294967294" count="1" selected="0">
            <x v="0"/>
          </reference>
          <reference field="10" count="1" selected="0">
            <x v="45"/>
          </reference>
          <reference field="11" count="1" selected="0">
            <x v="9"/>
          </reference>
          <reference field="12" count="1" selected="0">
            <x v="7"/>
          </reference>
        </references>
      </pivotArea>
    </chartFormat>
    <chartFormat chart="2" format="238" series="1">
      <pivotArea type="data" outline="0" fieldPosition="0">
        <references count="4">
          <reference field="4294967294" count="1" selected="0">
            <x v="0"/>
          </reference>
          <reference field="10" count="1" selected="0">
            <x v="45"/>
          </reference>
          <reference field="11" count="1" selected="0">
            <x v="16"/>
          </reference>
          <reference field="12" count="1" selected="0">
            <x v="7"/>
          </reference>
        </references>
      </pivotArea>
    </chartFormat>
    <chartFormat chart="2" format="239" series="1">
      <pivotArea type="data" outline="0" fieldPosition="0">
        <references count="4">
          <reference field="4294967294" count="1" selected="0">
            <x v="0"/>
          </reference>
          <reference field="10" count="1" selected="0">
            <x v="35"/>
          </reference>
          <reference field="11" count="1" selected="0">
            <x v="53"/>
          </reference>
          <reference field="12" count="1" selected="0">
            <x v="7"/>
          </reference>
        </references>
      </pivotArea>
    </chartFormat>
    <chartFormat chart="2" format="240" series="1">
      <pivotArea type="data" outline="0" fieldPosition="0">
        <references count="4">
          <reference field="4294967294" count="1" selected="0">
            <x v="0"/>
          </reference>
          <reference field="10" count="1" selected="0">
            <x v="24"/>
          </reference>
          <reference field="11" count="1" selected="0">
            <x v="15"/>
          </reference>
          <reference field="12" count="1" selected="0">
            <x v="7"/>
          </reference>
        </references>
      </pivotArea>
    </chartFormat>
    <chartFormat chart="2" format="241" series="1">
      <pivotArea type="data" outline="0" fieldPosition="0">
        <references count="4">
          <reference field="4294967294" count="1" selected="0">
            <x v="0"/>
          </reference>
          <reference field="10" count="1" selected="0">
            <x v="24"/>
          </reference>
          <reference field="11" count="1" selected="0">
            <x v="26"/>
          </reference>
          <reference field="12" count="1" selected="0">
            <x v="7"/>
          </reference>
        </references>
      </pivotArea>
    </chartFormat>
    <chartFormat chart="2" format="242" series="1">
      <pivotArea type="data" outline="0" fieldPosition="0">
        <references count="4">
          <reference field="4294967294" count="1" selected="0">
            <x v="0"/>
          </reference>
          <reference field="10" count="1" selected="0">
            <x v="26"/>
          </reference>
          <reference field="11" count="1" selected="0">
            <x v="9"/>
          </reference>
          <reference field="12" count="1" selected="0">
            <x v="7"/>
          </reference>
        </references>
      </pivotArea>
    </chartFormat>
    <chartFormat chart="2" format="243" series="1">
      <pivotArea type="data" outline="0" fieldPosition="0">
        <references count="4">
          <reference field="4294967294" count="1" selected="0">
            <x v="0"/>
          </reference>
          <reference field="10" count="1" selected="0">
            <x v="26"/>
          </reference>
          <reference field="11" count="1" selected="0">
            <x v="15"/>
          </reference>
          <reference field="12" count="1" selected="0">
            <x v="7"/>
          </reference>
        </references>
      </pivotArea>
    </chartFormat>
    <chartFormat chart="2" format="244" series="1">
      <pivotArea type="data" outline="0" fieldPosition="0">
        <references count="4">
          <reference field="4294967294" count="1" selected="0">
            <x v="0"/>
          </reference>
          <reference field="10" count="1" selected="0">
            <x v="26"/>
          </reference>
          <reference field="11" count="1" selected="0">
            <x v="26"/>
          </reference>
          <reference field="12" count="1" selected="0">
            <x v="7"/>
          </reference>
        </references>
      </pivotArea>
    </chartFormat>
    <chartFormat chart="2" format="245" series="1">
      <pivotArea type="data" outline="0" fieldPosition="0">
        <references count="4">
          <reference field="4294967294" count="1" selected="0">
            <x v="0"/>
          </reference>
          <reference field="10" count="1" selected="0">
            <x v="38"/>
          </reference>
          <reference field="11" count="1" selected="0">
            <x v="9"/>
          </reference>
          <reference field="12" count="1" selected="0">
            <x v="7"/>
          </reference>
        </references>
      </pivotArea>
    </chartFormat>
    <chartFormat chart="2" format="246" series="1">
      <pivotArea type="data" outline="0" fieldPosition="0">
        <references count="4">
          <reference field="4294967294" count="1" selected="0">
            <x v="0"/>
          </reference>
          <reference field="10" count="1" selected="0">
            <x v="91"/>
          </reference>
          <reference field="11" count="1" selected="0">
            <x v="3"/>
          </reference>
          <reference field="12" count="1" selected="0">
            <x v="3"/>
          </reference>
        </references>
      </pivotArea>
    </chartFormat>
    <chartFormat chart="2" format="247" series="1">
      <pivotArea type="data" outline="0" fieldPosition="0">
        <references count="4">
          <reference field="4294967294" count="1" selected="0">
            <x v="0"/>
          </reference>
          <reference field="10" count="1" selected="0">
            <x v="91"/>
          </reference>
          <reference field="11" count="1" selected="0">
            <x v="11"/>
          </reference>
          <reference field="12" count="1" selected="0">
            <x v="3"/>
          </reference>
        </references>
      </pivotArea>
    </chartFormat>
    <chartFormat chart="2" format="248" series="1">
      <pivotArea type="data" outline="0" fieldPosition="0">
        <references count="4">
          <reference field="4294967294" count="1" selected="0">
            <x v="0"/>
          </reference>
          <reference field="10" count="1" selected="0">
            <x v="91"/>
          </reference>
          <reference field="11" count="1" selected="0">
            <x v="48"/>
          </reference>
          <reference field="12" count="1" selected="0">
            <x v="3"/>
          </reference>
        </references>
      </pivotArea>
    </chartFormat>
    <chartFormat chart="2" format="249" series="1">
      <pivotArea type="data" outline="0" fieldPosition="0">
        <references count="4">
          <reference field="4294967294" count="1" selected="0">
            <x v="0"/>
          </reference>
          <reference field="10" count="1" selected="0">
            <x v="91"/>
          </reference>
          <reference field="11" count="1" selected="0">
            <x v="48"/>
          </reference>
          <reference field="12" count="1" selected="0">
            <x v="5"/>
          </reference>
        </references>
      </pivotArea>
    </chartFormat>
    <chartFormat chart="2" format="250" series="1">
      <pivotArea type="data" outline="0" fieldPosition="0">
        <references count="4">
          <reference field="4294967294" count="1" selected="0">
            <x v="0"/>
          </reference>
          <reference field="10" count="1" selected="0">
            <x v="91"/>
          </reference>
          <reference field="11" count="1" selected="0">
            <x v="49"/>
          </reference>
          <reference field="12" count="1" selected="0">
            <x v="3"/>
          </reference>
        </references>
      </pivotArea>
    </chartFormat>
    <chartFormat chart="2" format="251" series="1">
      <pivotArea type="data" outline="0" fieldPosition="0">
        <references count="4">
          <reference field="4294967294" count="1" selected="0">
            <x v="0"/>
          </reference>
          <reference field="10" count="1" selected="0">
            <x v="92"/>
          </reference>
          <reference field="11" count="1" selected="0">
            <x v="0"/>
          </reference>
          <reference field="12" count="1" selected="0">
            <x v="5"/>
          </reference>
        </references>
      </pivotArea>
    </chartFormat>
    <chartFormat chart="2" format="252" series="1">
      <pivotArea type="data" outline="0" fieldPosition="0">
        <references count="4">
          <reference field="4294967294" count="1" selected="0">
            <x v="0"/>
          </reference>
          <reference field="10" count="1" selected="0">
            <x v="92"/>
          </reference>
          <reference field="11" count="1" selected="0">
            <x v="1"/>
          </reference>
          <reference field="12" count="1" selected="0">
            <x v="5"/>
          </reference>
        </references>
      </pivotArea>
    </chartFormat>
    <chartFormat chart="2" format="253" series="1">
      <pivotArea type="data" outline="0" fieldPosition="0">
        <references count="4">
          <reference field="4294967294" count="1" selected="0">
            <x v="0"/>
          </reference>
          <reference field="10" count="1" selected="0">
            <x v="92"/>
          </reference>
          <reference field="11" count="1" selected="0">
            <x v="3"/>
          </reference>
          <reference field="12" count="1" selected="0">
            <x v="3"/>
          </reference>
        </references>
      </pivotArea>
    </chartFormat>
    <chartFormat chart="2" format="254" series="1">
      <pivotArea type="data" outline="0" fieldPosition="0">
        <references count="4">
          <reference field="4294967294" count="1" selected="0">
            <x v="0"/>
          </reference>
          <reference field="10" count="1" selected="0">
            <x v="92"/>
          </reference>
          <reference field="11" count="1" selected="0">
            <x v="11"/>
          </reference>
          <reference field="12" count="1" selected="0">
            <x v="3"/>
          </reference>
        </references>
      </pivotArea>
    </chartFormat>
    <chartFormat chart="2" format="255" series="1">
      <pivotArea type="data" outline="0" fieldPosition="0">
        <references count="4">
          <reference field="4294967294" count="1" selected="0">
            <x v="0"/>
          </reference>
          <reference field="10" count="1" selected="0">
            <x v="19"/>
          </reference>
          <reference field="11" count="1" selected="0">
            <x v="38"/>
          </reference>
          <reference field="12" count="1" selected="0">
            <x v="3"/>
          </reference>
        </references>
      </pivotArea>
    </chartFormat>
    <chartFormat chart="2" format="256" series="1">
      <pivotArea type="data" outline="0" fieldPosition="0">
        <references count="4">
          <reference field="4294967294" count="1" selected="0">
            <x v="0"/>
          </reference>
          <reference field="10" count="1" selected="0">
            <x v="18"/>
          </reference>
          <reference field="11" count="1" selected="0">
            <x v="36"/>
          </reference>
          <reference field="12" count="1" selected="0">
            <x v="3"/>
          </reference>
        </references>
      </pivotArea>
    </chartFormat>
    <chartFormat chart="2" format="257" series="1">
      <pivotArea type="data" outline="0" fieldPosition="0">
        <references count="4">
          <reference field="4294967294" count="1" selected="0">
            <x v="0"/>
          </reference>
          <reference field="10" count="1" selected="0">
            <x v="16"/>
          </reference>
          <reference field="11" count="1" selected="0">
            <x v="33"/>
          </reference>
          <reference field="12" count="1" selected="0">
            <x v="2"/>
          </reference>
        </references>
      </pivotArea>
    </chartFormat>
    <chartFormat chart="2" format="258" series="1">
      <pivotArea type="data" outline="0" fieldPosition="0">
        <references count="4">
          <reference field="4294967294" count="1" selected="0">
            <x v="0"/>
          </reference>
          <reference field="10" count="1" selected="0">
            <x v="16"/>
          </reference>
          <reference field="11" count="1" selected="0">
            <x v="33"/>
          </reference>
          <reference field="12" count="1" selected="0">
            <x v="4"/>
          </reference>
        </references>
      </pivotArea>
    </chartFormat>
    <chartFormat chart="2" format="259" series="1">
      <pivotArea type="data" outline="0" fieldPosition="0">
        <references count="4">
          <reference field="4294967294" count="1" selected="0">
            <x v="0"/>
          </reference>
          <reference field="10" count="1" selected="0">
            <x v="16"/>
          </reference>
          <reference field="11" count="1" selected="0">
            <x v="34"/>
          </reference>
          <reference field="12" count="1" selected="0">
            <x v="4"/>
          </reference>
        </references>
      </pivotArea>
    </chartFormat>
    <chartFormat chart="2" format="260" series="1">
      <pivotArea type="data" outline="0" fieldPosition="0">
        <references count="4">
          <reference field="4294967294" count="1" selected="0">
            <x v="0"/>
          </reference>
          <reference field="10" count="1" selected="0">
            <x v="16"/>
          </reference>
          <reference field="11" count="1" selected="0">
            <x v="35"/>
          </reference>
          <reference field="12" count="1" selected="0">
            <x v="2"/>
          </reference>
        </references>
      </pivotArea>
    </chartFormat>
    <chartFormat chart="2" format="261" series="1">
      <pivotArea type="data" outline="0" fieldPosition="0">
        <references count="4">
          <reference field="4294967294" count="1" selected="0">
            <x v="0"/>
          </reference>
          <reference field="10" count="1" selected="0">
            <x v="16"/>
          </reference>
          <reference field="11" count="1" selected="0">
            <x v="35"/>
          </reference>
          <reference field="12" count="1" selected="0">
            <x v="4"/>
          </reference>
        </references>
      </pivotArea>
    </chartFormat>
    <chartFormat chart="2" format="262" series="1">
      <pivotArea type="data" outline="0" fieldPosition="0">
        <references count="4">
          <reference field="4294967294" count="1" selected="0">
            <x v="0"/>
          </reference>
          <reference field="10" count="1" selected="0">
            <x v="54"/>
          </reference>
          <reference field="11" count="1" selected="0">
            <x v="33"/>
          </reference>
          <reference field="12" count="1" selected="0">
            <x v="3"/>
          </reference>
        </references>
      </pivotArea>
    </chartFormat>
    <chartFormat chart="2" format="263" series="1">
      <pivotArea type="data" outline="0" fieldPosition="0">
        <references count="4">
          <reference field="4294967294" count="1" selected="0">
            <x v="0"/>
          </reference>
          <reference field="10" count="1" selected="0">
            <x v="17"/>
          </reference>
          <reference field="11" count="1" selected="0">
            <x v="36"/>
          </reference>
          <reference field="12" count="1" selected="0">
            <x v="5"/>
          </reference>
        </references>
      </pivotArea>
    </chartFormat>
    <chartFormat chart="2" format="264" series="1">
      <pivotArea type="data" outline="0" fieldPosition="0">
        <references count="4">
          <reference field="4294967294" count="1" selected="0">
            <x v="0"/>
          </reference>
          <reference field="10" count="1" selected="0">
            <x v="51"/>
          </reference>
          <reference field="11" count="1" selected="0">
            <x v="10"/>
          </reference>
          <reference field="12" count="1" selected="0">
            <x v="7"/>
          </reference>
        </references>
      </pivotArea>
    </chartFormat>
    <chartFormat chart="2" format="265" series="1">
      <pivotArea type="data" outline="0" fieldPosition="0">
        <references count="4">
          <reference field="4294967294" count="1" selected="0">
            <x v="0"/>
          </reference>
          <reference field="10" count="1" selected="0">
            <x v="51"/>
          </reference>
          <reference field="11" count="1" selected="0">
            <x v="20"/>
          </reference>
          <reference field="12" count="1" selected="0">
            <x v="7"/>
          </reference>
        </references>
      </pivotArea>
    </chartFormat>
    <chartFormat chart="2" format="266" series="1">
      <pivotArea type="data" outline="0" fieldPosition="0">
        <references count="4">
          <reference field="4294967294" count="1" selected="0">
            <x v="0"/>
          </reference>
          <reference field="10" count="1" selected="0">
            <x v="51"/>
          </reference>
          <reference field="11" count="1" selected="0">
            <x v="22"/>
          </reference>
          <reference field="12" count="1" selected="0">
            <x v="7"/>
          </reference>
        </references>
      </pivotArea>
    </chartFormat>
    <chartFormat chart="2" format="267" series="1">
      <pivotArea type="data" outline="0" fieldPosition="0">
        <references count="4">
          <reference field="4294967294" count="1" selected="0">
            <x v="0"/>
          </reference>
          <reference field="10" count="1" selected="0">
            <x v="48"/>
          </reference>
          <reference field="11" count="1" selected="0">
            <x v="53"/>
          </reference>
          <reference field="12" count="1" selected="0">
            <x v="7"/>
          </reference>
        </references>
      </pivotArea>
    </chartFormat>
    <chartFormat chart="2" format="268" series="1">
      <pivotArea type="data" outline="0" fieldPosition="0">
        <references count="4">
          <reference field="4294967294" count="1" selected="0">
            <x v="0"/>
          </reference>
          <reference field="10" count="1" selected="0">
            <x v="31"/>
          </reference>
          <reference field="11" count="1" selected="0">
            <x v="53"/>
          </reference>
          <reference field="12" count="1" selected="0">
            <x v="7"/>
          </reference>
        </references>
      </pivotArea>
    </chartFormat>
    <chartFormat chart="2" format="269" series="1">
      <pivotArea type="data" outline="0" fieldPosition="0">
        <references count="4">
          <reference field="4294967294" count="1" selected="0">
            <x v="0"/>
          </reference>
          <reference field="10" count="1" selected="0">
            <x v="50"/>
          </reference>
          <reference field="11" count="1" selected="0">
            <x v="53"/>
          </reference>
          <reference field="12" count="1" selected="0">
            <x v="7"/>
          </reference>
        </references>
      </pivotArea>
    </chartFormat>
    <chartFormat chart="2" format="270" series="1">
      <pivotArea type="data" outline="0" fieldPosition="0">
        <references count="4">
          <reference field="4294967294" count="1" selected="0">
            <x v="0"/>
          </reference>
          <reference field="10" count="1" selected="0">
            <x v="28"/>
          </reference>
          <reference field="11" count="1" selected="0">
            <x v="53"/>
          </reference>
          <reference field="12" count="1" selected="0">
            <x v="7"/>
          </reference>
        </references>
      </pivotArea>
    </chartFormat>
    <chartFormat chart="2" format="271" series="1">
      <pivotArea type="data" outline="0" fieldPosition="0">
        <references count="4">
          <reference field="4294967294" count="1" selected="0">
            <x v="0"/>
          </reference>
          <reference field="10" count="1" selected="0">
            <x v="49"/>
          </reference>
          <reference field="11" count="1" selected="0">
            <x v="53"/>
          </reference>
          <reference field="12" count="1" selected="0">
            <x v="7"/>
          </reference>
        </references>
      </pivotArea>
    </chartFormat>
    <chartFormat chart="2" format="272" series="1">
      <pivotArea type="data" outline="0" fieldPosition="0">
        <references count="4">
          <reference field="4294967294" count="1" selected="0">
            <x v="0"/>
          </reference>
          <reference field="10" count="1" selected="0">
            <x v="10"/>
          </reference>
          <reference field="11" count="1" selected="0">
            <x v="53"/>
          </reference>
          <reference field="12" count="1" selected="0">
            <x v="7"/>
          </reference>
        </references>
      </pivotArea>
    </chartFormat>
    <chartFormat chart="2" format="273" series="1">
      <pivotArea type="data" outline="0" fieldPosition="0">
        <references count="4">
          <reference field="4294967294" count="1" selected="0">
            <x v="0"/>
          </reference>
          <reference field="10" count="1" selected="0">
            <x v="73"/>
          </reference>
          <reference field="11" count="1" selected="0">
            <x v="53"/>
          </reference>
          <reference field="12" count="1" selected="0">
            <x v="7"/>
          </reference>
        </references>
      </pivotArea>
    </chartFormat>
    <chartFormat chart="2" format="274" series="1">
      <pivotArea type="data" outline="0" fieldPosition="0">
        <references count="4">
          <reference field="4294967294" count="1" selected="0">
            <x v="0"/>
          </reference>
          <reference field="10" count="1" selected="0">
            <x v="76"/>
          </reference>
          <reference field="11" count="1" selected="0">
            <x v="53"/>
          </reference>
          <reference field="12" count="1" selected="0">
            <x v="7"/>
          </reference>
        </references>
      </pivotArea>
    </chartFormat>
    <chartFormat chart="2" format="275" series="1">
      <pivotArea type="data" outline="0" fieldPosition="0">
        <references count="4">
          <reference field="4294967294" count="1" selected="0">
            <x v="0"/>
          </reference>
          <reference field="10" count="1" selected="0">
            <x v="9"/>
          </reference>
          <reference field="11" count="1" selected="0">
            <x v="53"/>
          </reference>
          <reference field="12" count="1" selected="0">
            <x v="7"/>
          </reference>
        </references>
      </pivotArea>
    </chartFormat>
    <chartFormat chart="2" format="276" series="1">
      <pivotArea type="data" outline="0" fieldPosition="0">
        <references count="4">
          <reference field="4294967294" count="1" selected="0">
            <x v="0"/>
          </reference>
          <reference field="10" count="1" selected="0">
            <x v="0"/>
          </reference>
          <reference field="11" count="1" selected="0">
            <x v="14"/>
          </reference>
          <reference field="12" count="1" selected="0">
            <x v="0"/>
          </reference>
        </references>
      </pivotArea>
    </chartFormat>
    <chartFormat chart="2" format="277" series="1">
      <pivotArea type="data" outline="0" fieldPosition="0">
        <references count="4">
          <reference field="4294967294" count="1" selected="0">
            <x v="0"/>
          </reference>
          <reference field="10" count="1" selected="0">
            <x v="0"/>
          </reference>
          <reference field="11" count="1" selected="0">
            <x v="23"/>
          </reference>
          <reference field="12" count="1" selected="0">
            <x v="1"/>
          </reference>
        </references>
      </pivotArea>
    </chartFormat>
    <chartFormat chart="2" format="278" series="1">
      <pivotArea type="data" outline="0" fieldPosition="0">
        <references count="4">
          <reference field="4294967294" count="1" selected="0">
            <x v="0"/>
          </reference>
          <reference field="10" count="1" selected="0">
            <x v="8"/>
          </reference>
          <reference field="11" count="1" selected="0">
            <x v="14"/>
          </reference>
          <reference field="12" count="1" selected="0">
            <x v="0"/>
          </reference>
        </references>
      </pivotArea>
    </chartFormat>
    <chartFormat chart="2" format="279" series="1">
      <pivotArea type="data" outline="0" fieldPosition="0">
        <references count="4">
          <reference field="4294967294" count="1" selected="0">
            <x v="0"/>
          </reference>
          <reference field="10" count="1" selected="0">
            <x v="8"/>
          </reference>
          <reference field="11" count="1" selected="0">
            <x v="23"/>
          </reference>
          <reference field="12" count="1" selected="0">
            <x v="1"/>
          </reference>
        </references>
      </pivotArea>
    </chartFormat>
    <chartFormat chart="2" format="280" series="1">
      <pivotArea type="data" outline="0" fieldPosition="0">
        <references count="4">
          <reference field="4294967294" count="1" selected="0">
            <x v="0"/>
          </reference>
          <reference field="10" count="1" selected="0">
            <x v="14"/>
          </reference>
          <reference field="11" count="1" selected="0">
            <x v="14"/>
          </reference>
          <reference field="12" count="1" selected="0">
            <x v="0"/>
          </reference>
        </references>
      </pivotArea>
    </chartFormat>
    <chartFormat chart="2" format="281" series="1">
      <pivotArea type="data" outline="0" fieldPosition="0">
        <references count="4">
          <reference field="4294967294" count="1" selected="0">
            <x v="0"/>
          </reference>
          <reference field="10" count="1" selected="0">
            <x v="14"/>
          </reference>
          <reference field="11" count="1" selected="0">
            <x v="25"/>
          </reference>
          <reference field="12" count="1" selected="0">
            <x v="0"/>
          </reference>
        </references>
      </pivotArea>
    </chartFormat>
    <chartFormat chart="2" format="282" series="1">
      <pivotArea type="data" outline="0" fieldPosition="0">
        <references count="4">
          <reference field="4294967294" count="1" selected="0">
            <x v="0"/>
          </reference>
          <reference field="10" count="1" selected="0">
            <x v="15"/>
          </reference>
          <reference field="11" count="1" selected="0">
            <x v="14"/>
          </reference>
          <reference field="12" count="1" selected="0">
            <x v="0"/>
          </reference>
        </references>
      </pivotArea>
    </chartFormat>
    <chartFormat chart="2" format="283" series="1">
      <pivotArea type="data" outline="0" fieldPosition="0">
        <references count="4">
          <reference field="4294967294" count="1" selected="0">
            <x v="0"/>
          </reference>
          <reference field="10" count="1" selected="0">
            <x v="15"/>
          </reference>
          <reference field="11" count="1" selected="0">
            <x v="25"/>
          </reference>
          <reference field="12" count="1" selected="0">
            <x v="0"/>
          </reference>
        </references>
      </pivotArea>
    </chartFormat>
    <chartFormat chart="2" format="284" series="1">
      <pivotArea type="data" outline="0" fieldPosition="0">
        <references count="4">
          <reference field="4294967294" count="1" selected="0">
            <x v="0"/>
          </reference>
          <reference field="10" count="1" selected="0">
            <x v="58"/>
          </reference>
          <reference field="11" count="1" selected="0">
            <x v="14"/>
          </reference>
          <reference field="12" count="1" selected="0">
            <x v="0"/>
          </reference>
        </references>
      </pivotArea>
    </chartFormat>
    <chartFormat chart="2" format="285" series="1">
      <pivotArea type="data" outline="0" fieldPosition="0">
        <references count="4">
          <reference field="4294967294" count="1" selected="0">
            <x v="0"/>
          </reference>
          <reference field="10" count="1" selected="0">
            <x v="58"/>
          </reference>
          <reference field="11" count="1" selected="0">
            <x v="25"/>
          </reference>
          <reference field="12" count="1" selected="0">
            <x v="0"/>
          </reference>
        </references>
      </pivotArea>
    </chartFormat>
    <chartFormat chart="2" format="286" series="1">
      <pivotArea type="data" outline="0" fieldPosition="0">
        <references count="4">
          <reference field="4294967294" count="1" selected="0">
            <x v="0"/>
          </reference>
          <reference field="10" count="1" selected="0">
            <x v="75"/>
          </reference>
          <reference field="11" count="1" selected="0">
            <x v="14"/>
          </reference>
          <reference field="12" count="1" selected="0">
            <x v="0"/>
          </reference>
        </references>
      </pivotArea>
    </chartFormat>
    <chartFormat chart="2" format="287" series="1">
      <pivotArea type="data" outline="0" fieldPosition="0">
        <references count="4">
          <reference field="4294967294" count="1" selected="0">
            <x v="0"/>
          </reference>
          <reference field="10" count="1" selected="0">
            <x v="75"/>
          </reference>
          <reference field="11" count="1" selected="0">
            <x v="23"/>
          </reference>
          <reference field="12" count="1" selected="0">
            <x v="1"/>
          </reference>
        </references>
      </pivotArea>
    </chartFormat>
    <chartFormat chart="2" format="288" series="1">
      <pivotArea type="data" outline="0" fieldPosition="0">
        <references count="4">
          <reference field="4294967294" count="1" selected="0">
            <x v="0"/>
          </reference>
          <reference field="10" count="1" selected="0">
            <x v="13"/>
          </reference>
          <reference field="11" count="1" selected="0">
            <x v="15"/>
          </reference>
          <reference field="12" count="1" selected="0">
            <x v="7"/>
          </reference>
        </references>
      </pivotArea>
    </chartFormat>
    <chartFormat chart="2" format="289" series="1">
      <pivotArea type="data" outline="0" fieldPosition="0">
        <references count="4">
          <reference field="4294967294" count="1" selected="0">
            <x v="0"/>
          </reference>
          <reference field="10" count="1" selected="0">
            <x v="13"/>
          </reference>
          <reference field="11" count="1" selected="0">
            <x v="26"/>
          </reference>
          <reference field="12" count="1" selected="0">
            <x v="7"/>
          </reference>
        </references>
      </pivotArea>
    </chartFormat>
    <chartFormat chart="2" format="290" series="1">
      <pivotArea type="data" outline="0" fieldPosition="0">
        <references count="4">
          <reference field="4294967294" count="1" selected="0">
            <x v="0"/>
          </reference>
          <reference field="10" count="1" selected="0">
            <x v="20"/>
          </reference>
          <reference field="11" count="1" selected="0">
            <x v="9"/>
          </reference>
          <reference field="12" count="1" selected="0">
            <x v="7"/>
          </reference>
        </references>
      </pivotArea>
    </chartFormat>
    <chartFormat chart="2" format="291" series="1">
      <pivotArea type="data" outline="0" fieldPosition="0">
        <references count="4">
          <reference field="4294967294" count="1" selected="0">
            <x v="0"/>
          </reference>
          <reference field="10" count="1" selected="0">
            <x v="20"/>
          </reference>
          <reference field="11" count="1" selected="0">
            <x v="15"/>
          </reference>
          <reference field="12" count="1" selected="0">
            <x v="7"/>
          </reference>
        </references>
      </pivotArea>
    </chartFormat>
    <chartFormat chart="2" format="292" series="1">
      <pivotArea type="data" outline="0" fieldPosition="0">
        <references count="4">
          <reference field="4294967294" count="1" selected="0">
            <x v="0"/>
          </reference>
          <reference field="10" count="1" selected="0">
            <x v="20"/>
          </reference>
          <reference field="11" count="1" selected="0">
            <x v="26"/>
          </reference>
          <reference field="12" count="1" selected="0">
            <x v="7"/>
          </reference>
        </references>
      </pivotArea>
    </chartFormat>
    <chartFormat chart="2" format="293" series="1">
      <pivotArea type="data" outline="0" fieldPosition="0">
        <references count="4">
          <reference field="4294967294" count="1" selected="0">
            <x v="0"/>
          </reference>
          <reference field="10" count="1" selected="0">
            <x v="24"/>
          </reference>
          <reference field="11" count="1" selected="0">
            <x v="9"/>
          </reference>
          <reference field="12" count="1" selected="0">
            <x v="7"/>
          </reference>
        </references>
      </pivotArea>
    </chartFormat>
    <chartFormat chart="2" format="294" series="1">
      <pivotArea type="data" outline="0" fieldPosition="0">
        <references count="4">
          <reference field="4294967294" count="1" selected="0">
            <x v="0"/>
          </reference>
          <reference field="10" count="1" selected="0">
            <x v="66"/>
          </reference>
          <reference field="11" count="1" selected="0">
            <x v="53"/>
          </reference>
          <reference field="12" count="1" selected="0">
            <x v="7"/>
          </reference>
        </references>
      </pivotArea>
    </chartFormat>
    <chartFormat chart="2" format="295" series="1">
      <pivotArea type="data" outline="0" fieldPosition="0">
        <references count="4">
          <reference field="4294967294" count="1" selected="0">
            <x v="0"/>
          </reference>
          <reference field="10" count="1" selected="0">
            <x v="88"/>
          </reference>
          <reference field="11" count="1" selected="0">
            <x v="28"/>
          </reference>
          <reference field="12" count="1" selected="0">
            <x v="7"/>
          </reference>
        </references>
      </pivotArea>
    </chartFormat>
    <chartFormat chart="2" format="296" series="1">
      <pivotArea type="data" outline="0" fieldPosition="0">
        <references count="4">
          <reference field="4294967294" count="1" selected="0">
            <x v="0"/>
          </reference>
          <reference field="10" count="1" selected="0">
            <x v="88"/>
          </reference>
          <reference field="11" count="1" selected="0">
            <x v="29"/>
          </reference>
          <reference field="12" count="1" selected="0">
            <x v="7"/>
          </reference>
        </references>
      </pivotArea>
    </chartFormat>
    <chartFormat chart="2" format="297" series="1">
      <pivotArea type="data" outline="0" fieldPosition="0">
        <references count="4">
          <reference field="4294967294" count="1" selected="0">
            <x v="0"/>
          </reference>
          <reference field="10" count="1" selected="0">
            <x v="89"/>
          </reference>
          <reference field="11" count="1" selected="0">
            <x v="30"/>
          </reference>
          <reference field="12" count="1" selected="0">
            <x v="7"/>
          </reference>
        </references>
      </pivotArea>
    </chartFormat>
    <chartFormat chart="2" format="298" series="1">
      <pivotArea type="data" outline="0" fieldPosition="0">
        <references count="4">
          <reference field="4294967294" count="1" selected="0">
            <x v="0"/>
          </reference>
          <reference field="10" count="1" selected="0">
            <x v="89"/>
          </reference>
          <reference field="11" count="1" selected="0">
            <x v="31"/>
          </reference>
          <reference field="12" count="1" selected="0">
            <x v="7"/>
          </reference>
        </references>
      </pivotArea>
    </chartFormat>
    <chartFormat chart="2" format="299" series="1">
      <pivotArea type="data" outline="0" fieldPosition="0">
        <references count="4">
          <reference field="4294967294" count="1" selected="0">
            <x v="0"/>
          </reference>
          <reference field="10" count="1" selected="0">
            <x v="39"/>
          </reference>
          <reference field="11" count="1" selected="0">
            <x v="51"/>
          </reference>
          <reference field="12" count="1" selected="0">
            <x v="7"/>
          </reference>
        </references>
      </pivotArea>
    </chartFormat>
    <chartFormat chart="2" format="300" series="1">
      <pivotArea type="data" outline="0" fieldPosition="0">
        <references count="4">
          <reference field="4294967294" count="1" selected="0">
            <x v="0"/>
          </reference>
          <reference field="10" count="1" selected="0">
            <x v="39"/>
          </reference>
          <reference field="11" count="1" selected="0">
            <x v="52"/>
          </reference>
          <reference field="12" count="1" selected="0">
            <x v="7"/>
          </reference>
        </references>
      </pivotArea>
    </chartFormat>
    <chartFormat chart="2" format="301" series="1">
      <pivotArea type="data" outline="0" fieldPosition="0">
        <references count="4">
          <reference field="4294967294" count="1" selected="0">
            <x v="0"/>
          </reference>
          <reference field="10" count="1" selected="0">
            <x v="91"/>
          </reference>
          <reference field="11" count="1" selected="0">
            <x v="0"/>
          </reference>
          <reference field="12" count="1" selected="0">
            <x v="5"/>
          </reference>
        </references>
      </pivotArea>
    </chartFormat>
    <chartFormat chart="2" format="302" series="1">
      <pivotArea type="data" outline="0" fieldPosition="0">
        <references count="4">
          <reference field="4294967294" count="1" selected="0">
            <x v="0"/>
          </reference>
          <reference field="10" count="1" selected="0">
            <x v="91"/>
          </reference>
          <reference field="11" count="1" selected="0">
            <x v="1"/>
          </reference>
          <reference field="12" count="1" selected="0">
            <x v="5"/>
          </reference>
        </references>
      </pivotArea>
    </chartFormat>
    <chartFormat chart="2" format="303" series="1">
      <pivotArea type="data" outline="0" fieldPosition="0">
        <references count="4">
          <reference field="4294967294" count="1" selected="0">
            <x v="0"/>
          </reference>
          <reference field="10" count="1" selected="0">
            <x v="39"/>
          </reference>
          <reference field="11" count="1" selected="0">
            <x v="50"/>
          </reference>
          <reference field="12" count="1" selected="0">
            <x v="7"/>
          </reference>
        </references>
      </pivotArea>
    </chartFormat>
    <chartFormat chart="2" format="304" series="1">
      <pivotArea type="data" outline="0" fieldPosition="0">
        <references count="4">
          <reference field="4294967294" count="1" selected="0">
            <x v="0"/>
          </reference>
          <reference field="10" count="1" selected="0">
            <x v="93"/>
          </reference>
          <reference field="11" count="1" selected="0">
            <x v="9"/>
          </reference>
          <reference field="12" count="1" selected="0">
            <x v="7"/>
          </reference>
        </references>
      </pivotArea>
    </chartFormat>
    <chartFormat chart="2" format="305" series="1">
      <pivotArea type="data" outline="0" fieldPosition="0">
        <references count="4">
          <reference field="4294967294" count="1" selected="0">
            <x v="0"/>
          </reference>
          <reference field="10" count="1" selected="0">
            <x v="93"/>
          </reference>
          <reference field="11" count="1" selected="0">
            <x v="15"/>
          </reference>
          <reference field="12" count="1" selected="0">
            <x v="7"/>
          </reference>
        </references>
      </pivotArea>
    </chartFormat>
    <chartFormat chart="2" format="306" series="1">
      <pivotArea type="data" outline="0" fieldPosition="0">
        <references count="4">
          <reference field="4294967294" count="1" selected="0">
            <x v="0"/>
          </reference>
          <reference field="10" count="1" selected="0">
            <x v="93"/>
          </reference>
          <reference field="11" count="1" selected="0">
            <x v="26"/>
          </reference>
          <reference field="12" count="1" selected="0">
            <x v="7"/>
          </reference>
        </references>
      </pivotArea>
    </chartFormat>
    <chartFormat chart="2" format="307" series="1">
      <pivotArea type="data" outline="0" fieldPosition="0">
        <references count="4">
          <reference field="4294967294" count="1" selected="0">
            <x v="0"/>
          </reference>
          <reference field="10" count="1" selected="0">
            <x v="94"/>
          </reference>
          <reference field="11" count="1" selected="0">
            <x v="9"/>
          </reference>
          <reference field="12" count="1" selected="0">
            <x v="7"/>
          </reference>
        </references>
      </pivotArea>
    </chartFormat>
    <chartFormat chart="2" format="308" series="1">
      <pivotArea type="data" outline="0" fieldPosition="0">
        <references count="4">
          <reference field="4294967294" count="1" selected="0">
            <x v="0"/>
          </reference>
          <reference field="10" count="1" selected="0">
            <x v="94"/>
          </reference>
          <reference field="11" count="1" selected="0">
            <x v="15"/>
          </reference>
          <reference field="12" count="1" selected="0">
            <x v="7"/>
          </reference>
        </references>
      </pivotArea>
    </chartFormat>
    <chartFormat chart="2" format="309" series="1">
      <pivotArea type="data" outline="0" fieldPosition="0">
        <references count="4">
          <reference field="4294967294" count="1" selected="0">
            <x v="0"/>
          </reference>
          <reference field="10" count="1" selected="0">
            <x v="94"/>
          </reference>
          <reference field="11" count="1" selected="0">
            <x v="26"/>
          </reference>
          <reference field="12" count="1" selected="0">
            <x v="7"/>
          </reference>
        </references>
      </pivotArea>
    </chartFormat>
    <chartFormat chart="2" format="310" series="1">
      <pivotArea type="data" outline="0" fieldPosition="0">
        <references count="4">
          <reference field="4294967294" count="1" selected="0">
            <x v="0"/>
          </reference>
          <reference field="10" count="1" selected="0">
            <x v="51"/>
          </reference>
          <reference field="11" count="1" selected="0">
            <x v="7"/>
          </reference>
          <reference field="12" count="1" selected="0">
            <x v="7"/>
          </reference>
        </references>
      </pivotArea>
    </chartFormat>
    <chartFormat chart="2" format="311" series="1">
      <pivotArea type="data" outline="0" fieldPosition="0">
        <references count="4">
          <reference field="4294967294" count="1" selected="0">
            <x v="0"/>
          </reference>
          <reference field="10" count="1" selected="0">
            <x v="51"/>
          </reference>
          <reference field="11" count="1" selected="0">
            <x v="8"/>
          </reference>
          <reference field="12" count="1" selected="0">
            <x v="7"/>
          </reference>
        </references>
      </pivotArea>
    </chartFormat>
    <chartFormat chart="2" format="312" series="1">
      <pivotArea type="data" outline="0" fieldPosition="0">
        <references count="4">
          <reference field="4294967294" count="1" selected="0">
            <x v="0"/>
          </reference>
          <reference field="10" count="1" selected="0">
            <x v="22"/>
          </reference>
          <reference field="11" count="1" selected="0">
            <x v="19"/>
          </reference>
          <reference field="12" count="1" selected="0">
            <x v="0"/>
          </reference>
        </references>
      </pivotArea>
    </chartFormat>
    <chartFormat chart="2" format="313" series="1">
      <pivotArea type="data" outline="0" fieldPosition="0">
        <references count="4">
          <reference field="4294967294" count="1" selected="0">
            <x v="0"/>
          </reference>
          <reference field="10" count="1" selected="0">
            <x v="25"/>
          </reference>
          <reference field="11" count="1" selected="0">
            <x v="19"/>
          </reference>
          <reference field="12" count="1" selected="0">
            <x v="0"/>
          </reference>
        </references>
      </pivotArea>
    </chartFormat>
    <chartFormat chart="2" format="314" series="1">
      <pivotArea type="data" outline="0" fieldPosition="0">
        <references count="4">
          <reference field="4294967294" count="1" selected="0">
            <x v="0"/>
          </reference>
          <reference field="10" count="1" selected="0">
            <x v="27"/>
          </reference>
          <reference field="11" count="1" selected="0">
            <x v="18"/>
          </reference>
          <reference field="12" count="1" selected="0">
            <x v="1"/>
          </reference>
        </references>
      </pivotArea>
    </chartFormat>
    <chartFormat chart="2" format="315" series="1">
      <pivotArea type="data" outline="0" fieldPosition="0">
        <references count="4">
          <reference field="4294967294" count="1" selected="0">
            <x v="0"/>
          </reference>
          <reference field="10" count="1" selected="0">
            <x v="27"/>
          </reference>
          <reference field="11" count="1" selected="0">
            <x v="19"/>
          </reference>
          <reference field="12" count="1" selected="0">
            <x v="0"/>
          </reference>
        </references>
      </pivotArea>
    </chartFormat>
    <chartFormat chart="2" format="316" series="1">
      <pivotArea type="data" outline="0" fieldPosition="0">
        <references count="4">
          <reference field="4294967294" count="1" selected="0">
            <x v="0"/>
          </reference>
          <reference field="10" count="1" selected="0">
            <x v="42"/>
          </reference>
          <reference field="11" count="1" selected="0">
            <x v="19"/>
          </reference>
          <reference field="12" count="1" selected="0">
            <x v="0"/>
          </reference>
        </references>
      </pivotArea>
    </chartFormat>
    <chartFormat chart="2" format="317" series="1">
      <pivotArea type="data" outline="0" fieldPosition="0">
        <references count="4">
          <reference field="4294967294" count="1" selected="0">
            <x v="0"/>
          </reference>
          <reference field="10" count="1" selected="0">
            <x v="52"/>
          </reference>
          <reference field="11" count="1" selected="0">
            <x v="19"/>
          </reference>
          <reference field="12" count="1" selected="0">
            <x v="0"/>
          </reference>
        </references>
      </pivotArea>
    </chartFormat>
    <chartFormat chart="2" format="318" series="1">
      <pivotArea type="data" outline="0" fieldPosition="0">
        <references count="4">
          <reference field="4294967294" count="1" selected="0">
            <x v="0"/>
          </reference>
          <reference field="10" count="1" selected="0">
            <x v="57"/>
          </reference>
          <reference field="11" count="1" selected="0">
            <x v="19"/>
          </reference>
          <reference field="12" count="1" selected="0">
            <x v="0"/>
          </reference>
        </references>
      </pivotArea>
    </chartFormat>
    <chartFormat chart="2" format="319" series="1">
      <pivotArea type="data" outline="0" fieldPosition="0">
        <references count="4">
          <reference field="4294967294" count="1" selected="0">
            <x v="0"/>
          </reference>
          <reference field="10" count="1" selected="0">
            <x v="59"/>
          </reference>
          <reference field="11" count="1" selected="0">
            <x v="19"/>
          </reference>
          <reference field="12" count="1" selected="0">
            <x v="0"/>
          </reference>
        </references>
      </pivotArea>
    </chartFormat>
    <chartFormat chart="2" format="320" series="1">
      <pivotArea type="data" outline="0" fieldPosition="0">
        <references count="4">
          <reference field="4294967294" count="1" selected="0">
            <x v="0"/>
          </reference>
          <reference field="10" count="1" selected="0">
            <x v="60"/>
          </reference>
          <reference field="11" count="1" selected="0">
            <x v="19"/>
          </reference>
          <reference field="12" count="1" selected="0">
            <x v="0"/>
          </reference>
        </references>
      </pivotArea>
    </chartFormat>
    <chartFormat chart="2" format="321" series="1">
      <pivotArea type="data" outline="0" fieldPosition="0">
        <references count="4">
          <reference field="4294967294" count="1" selected="0">
            <x v="0"/>
          </reference>
          <reference field="10" count="1" selected="0">
            <x v="62"/>
          </reference>
          <reference field="11" count="1" selected="0">
            <x v="18"/>
          </reference>
          <reference field="12" count="1" selected="0">
            <x v="1"/>
          </reference>
        </references>
      </pivotArea>
    </chartFormat>
    <chartFormat chart="2" format="322" series="1">
      <pivotArea type="data" outline="0" fieldPosition="0">
        <references count="4">
          <reference field="4294967294" count="1" selected="0">
            <x v="0"/>
          </reference>
          <reference field="10" count="1" selected="0">
            <x v="84"/>
          </reference>
          <reference field="11" count="1" selected="0">
            <x v="19"/>
          </reference>
          <reference field="12" count="1" selected="0">
            <x v="0"/>
          </reference>
        </references>
      </pivotArea>
    </chartFormat>
    <chartFormat chart="2" format="323" series="1">
      <pivotArea type="data" outline="0" fieldPosition="0">
        <references count="4">
          <reference field="4294967294" count="1" selected="0">
            <x v="0"/>
          </reference>
          <reference field="10" count="1" selected="0">
            <x v="69"/>
          </reference>
          <reference field="11" count="1" selected="0">
            <x v="47"/>
          </reference>
          <reference field="1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4DC24E-6B69-4E00-B922-AECF3C873410}"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0">
  <location ref="B30:F41" firstHeaderRow="1" firstDataRow="2" firstDataCol="1" rowPageCount="1" colPageCount="1"/>
  <pivotFields count="23">
    <pivotField axis="axisPage" showAll="0">
      <items count="16">
        <item x="10"/>
        <item x="0"/>
        <item m="1" x="12"/>
        <item x="3"/>
        <item x="1"/>
        <item x="9"/>
        <item m="1" x="13"/>
        <item x="5"/>
        <item x="4"/>
        <item m="1" x="14"/>
        <item x="6"/>
        <item x="7"/>
        <item x="8"/>
        <item x="11"/>
        <item x="2"/>
        <item t="default"/>
      </items>
    </pivotField>
    <pivotField showAll="0"/>
    <pivotField showAll="0"/>
    <pivotField showAll="0"/>
    <pivotField numFmtId="1" showAll="0"/>
    <pivotField showAll="0"/>
    <pivotField showAll="0"/>
    <pivotField showAll="0"/>
    <pivotField showAll="0"/>
    <pivotField showAll="0"/>
    <pivotField axis="axisRow" showAll="0">
      <items count="96">
        <item x="8"/>
        <item x="6"/>
        <item x="13"/>
        <item x="11"/>
        <item x="22"/>
        <item x="21"/>
        <item x="17"/>
        <item x="19"/>
        <item x="20"/>
        <item x="14"/>
        <item x="16"/>
        <item x="18"/>
        <item x="23"/>
        <item m="1" x="89"/>
        <item m="1" x="91"/>
        <item m="1" x="90"/>
        <item m="1" x="92"/>
        <item m="1" x="94"/>
        <item m="1" x="93"/>
        <item x="7"/>
        <item x="12"/>
        <item x="10"/>
        <item x="9"/>
        <item m="1" x="81"/>
        <item x="15"/>
        <item m="1" x="71"/>
        <item m="1" x="72"/>
        <item m="1" x="73"/>
        <item m="1" x="74"/>
        <item m="1" x="75"/>
        <item m="1" x="76"/>
        <item x="24"/>
        <item x="25"/>
        <item x="26"/>
        <item x="27"/>
        <item x="28"/>
        <item x="29"/>
        <item x="30"/>
        <item x="31"/>
        <item x="32"/>
        <item x="0"/>
        <item x="2"/>
        <item x="1"/>
        <item m="1" x="70"/>
        <item x="5"/>
        <item x="4"/>
        <item m="1" x="85"/>
        <item m="1" x="86"/>
        <item m="1" x="87"/>
        <item m="1" x="88"/>
        <item m="1" x="82"/>
        <item m="1" x="83"/>
        <item m="1" x="84"/>
        <item m="1" x="77"/>
        <item m="1" x="78"/>
        <item x="37"/>
        <item m="1" x="79"/>
        <item m="1" x="80"/>
        <item x="39"/>
        <item x="40"/>
        <item x="41"/>
        <item x="42"/>
        <item x="43"/>
        <item x="44"/>
        <item x="45"/>
        <item x="46"/>
        <item x="47"/>
        <item x="48"/>
        <item x="49"/>
        <item x="50"/>
        <item x="51"/>
        <item x="52"/>
        <item x="53"/>
        <item x="54"/>
        <item x="56"/>
        <item x="58"/>
        <item x="59"/>
        <item x="60"/>
        <item x="61"/>
        <item x="62"/>
        <item x="63"/>
        <item x="64"/>
        <item x="65"/>
        <item x="66"/>
        <item x="67"/>
        <item x="68"/>
        <item x="35"/>
        <item x="69"/>
        <item x="36"/>
        <item x="38"/>
        <item x="3"/>
        <item x="33"/>
        <item x="34"/>
        <item x="55"/>
        <item x="57"/>
        <item t="default"/>
      </items>
    </pivotField>
    <pivotField axis="axisCol" showAll="0">
      <items count="56">
        <item x="6"/>
        <item x="8"/>
        <item x="7"/>
        <item x="9"/>
        <item x="11"/>
        <item m="1" x="53"/>
        <item m="1" x="48"/>
        <item m="1" x="49"/>
        <item x="23"/>
        <item x="22"/>
        <item m="1" x="50"/>
        <item m="1" x="51"/>
        <item x="26"/>
        <item x="25"/>
        <item m="1" x="46"/>
        <item m="1" x="52"/>
        <item x="35"/>
        <item x="36"/>
        <item x="37"/>
        <item x="38"/>
        <item x="39"/>
        <item x="40"/>
        <item x="41"/>
        <item x="42"/>
        <item x="43"/>
        <item x="44"/>
        <item m="1" x="54"/>
        <item m="1" x="47"/>
        <item x="30"/>
        <item x="31"/>
        <item x="33"/>
        <item x="34"/>
        <item m="1" x="45"/>
        <item x="0"/>
        <item x="1"/>
        <item x="2"/>
        <item x="3"/>
        <item x="4"/>
        <item x="5"/>
        <item x="12"/>
        <item x="13"/>
        <item x="14"/>
        <item x="15"/>
        <item x="16"/>
        <item x="17"/>
        <item x="18"/>
        <item x="19"/>
        <item x="20"/>
        <item x="21"/>
        <item x="24"/>
        <item x="27"/>
        <item x="28"/>
        <item x="29"/>
        <item x="32"/>
        <item x="10"/>
        <item t="default"/>
      </items>
    </pivotField>
    <pivotField showAll="0"/>
    <pivotField dataField="1" showAll="0"/>
    <pivotField showAll="0"/>
    <pivotField showAll="0"/>
    <pivotField showAll="0"/>
    <pivotField showAll="0"/>
    <pivotField numFmtId="175" showAll="0"/>
    <pivotField numFmtId="175" showAll="0"/>
    <pivotField numFmtId="175" showAll="0"/>
    <pivotField numFmtId="175" showAll="0"/>
    <pivotField numFmtId="175" showAll="0"/>
  </pivotFields>
  <rowFields count="1">
    <field x="10"/>
  </rowFields>
  <rowItems count="10">
    <i>
      <x/>
    </i>
    <i>
      <x v="1"/>
    </i>
    <i>
      <x v="2"/>
    </i>
    <i>
      <x v="3"/>
    </i>
    <i>
      <x v="9"/>
    </i>
    <i>
      <x v="19"/>
    </i>
    <i>
      <x v="20"/>
    </i>
    <i>
      <x v="21"/>
    </i>
    <i>
      <x v="22"/>
    </i>
    <i t="grand">
      <x/>
    </i>
  </rowItems>
  <colFields count="1">
    <field x="11"/>
  </colFields>
  <colItems count="4">
    <i>
      <x/>
    </i>
    <i>
      <x v="1"/>
    </i>
    <i>
      <x v="2"/>
    </i>
    <i t="grand">
      <x/>
    </i>
  </colItems>
  <pageFields count="1">
    <pageField fld="0" item="4" hier="-1"/>
  </pageFields>
  <dataFields count="1">
    <dataField name="Sum of Value_AD_kg" fld="13" baseField="0" baseItem="0"/>
  </dataFields>
  <chartFormats count="6">
    <chartFormat chart="18" format="244" series="1">
      <pivotArea type="data" outline="0" fieldPosition="0">
        <references count="1">
          <reference field="11" count="1" selected="0">
            <x v="0"/>
          </reference>
        </references>
      </pivotArea>
    </chartFormat>
    <chartFormat chart="18" format="245" series="1">
      <pivotArea type="data" outline="0" fieldPosition="0">
        <references count="1">
          <reference field="11" count="1" selected="0">
            <x v="1"/>
          </reference>
        </references>
      </pivotArea>
    </chartFormat>
    <chartFormat chart="18" format="246" series="1">
      <pivotArea type="data" outline="0" fieldPosition="0">
        <references count="1">
          <reference field="11" count="1" selected="0">
            <x v="2"/>
          </reference>
        </references>
      </pivotArea>
    </chartFormat>
    <chartFormat chart="18" format="247" series="1">
      <pivotArea type="data" outline="0" fieldPosition="0">
        <references count="2">
          <reference field="4294967294" count="1" selected="0">
            <x v="0"/>
          </reference>
          <reference field="11" count="1" selected="0">
            <x v="0"/>
          </reference>
        </references>
      </pivotArea>
    </chartFormat>
    <chartFormat chart="18" format="248" series="1">
      <pivotArea type="data" outline="0" fieldPosition="0">
        <references count="2">
          <reference field="4294967294" count="1" selected="0">
            <x v="0"/>
          </reference>
          <reference field="11" count="1" selected="0">
            <x v="1"/>
          </reference>
        </references>
      </pivotArea>
    </chartFormat>
    <chartFormat chart="18" format="249" series="1">
      <pivotArea type="data" outline="0" fieldPosition="0">
        <references count="2">
          <reference field="4294967294" count="1" selected="0">
            <x v="0"/>
          </reference>
          <reference field="1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80E6D62-ABFA-43B5-8C48-91D6304772B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1">
  <location ref="B13:C25" firstHeaderRow="1" firstDataRow="1" firstDataCol="1" rowPageCount="1" colPageCount="1"/>
  <pivotFields count="23">
    <pivotField axis="axisRow" multipleItemSelectionAllowed="1" showAll="0">
      <items count="16">
        <item x="0"/>
        <item x="1"/>
        <item x="2"/>
        <item x="3"/>
        <item x="4"/>
        <item x="5"/>
        <item x="6"/>
        <item x="7"/>
        <item x="8"/>
        <item x="9"/>
        <item x="10"/>
        <item h="1" x="11"/>
        <item m="1" x="12"/>
        <item m="1" x="13"/>
        <item m="1" x="14"/>
        <item t="default"/>
      </items>
    </pivotField>
    <pivotField axis="axisPage" multipleItemSelectionAllowed="1" showAll="0">
      <items count="29">
        <item x="21"/>
        <item x="8"/>
        <item x="9"/>
        <item m="1" x="26"/>
        <item x="16"/>
        <item x="0"/>
        <item x="20"/>
        <item x="18"/>
        <item x="15"/>
        <item x="1"/>
        <item h="1" x="12"/>
        <item m="1" x="27"/>
        <item x="13"/>
        <item x="17"/>
        <item x="10"/>
        <item x="14"/>
        <item x="2"/>
        <item x="4"/>
        <item x="5"/>
        <item x="6"/>
        <item x="3"/>
        <item x="22"/>
        <item x="23"/>
        <item x="11"/>
        <item x="7"/>
        <item x="19"/>
        <item m="1" x="25"/>
        <item h="1" x="24"/>
        <item t="default"/>
      </items>
    </pivotField>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75" showAll="0"/>
    <pivotField dataField="1" numFmtId="175" showAll="0"/>
    <pivotField numFmtId="175" showAll="0"/>
    <pivotField numFmtId="175" showAll="0"/>
    <pivotField numFmtId="175" showAll="0"/>
  </pivotFields>
  <rowFields count="1">
    <field x="0"/>
  </rowFields>
  <rowItems count="12">
    <i>
      <x/>
    </i>
    <i>
      <x v="1"/>
    </i>
    <i>
      <x v="2"/>
    </i>
    <i>
      <x v="3"/>
    </i>
    <i>
      <x v="4"/>
    </i>
    <i>
      <x v="5"/>
    </i>
    <i>
      <x v="6"/>
    </i>
    <i>
      <x v="7"/>
    </i>
    <i>
      <x v="8"/>
    </i>
    <i>
      <x v="9"/>
    </i>
    <i>
      <x v="10"/>
    </i>
    <i t="grand">
      <x/>
    </i>
  </rowItems>
  <colItems count="1">
    <i/>
  </colItems>
  <pageFields count="1">
    <pageField fld="1" hier="-1"/>
  </pageFields>
  <dataFields count="1">
    <dataField name="Sum of Results_x000a_(ton CO2-eq)" fld="19" baseField="0" baseItem="0" numFmtId="175"/>
  </dataFields>
  <chartFormats count="12">
    <chartFormat chart="0" format="0" series="1">
      <pivotArea type="data" outline="0" fieldPosition="0">
        <references count="1">
          <reference field="4294967294" count="1" selected="0">
            <x v="0"/>
          </reference>
        </references>
      </pivotArea>
    </chartFormat>
    <chartFormat chart="0" format="33">
      <pivotArea type="data" outline="0" fieldPosition="0">
        <references count="2">
          <reference field="4294967294" count="1" selected="0">
            <x v="0"/>
          </reference>
          <reference field="0" count="1" selected="0">
            <x v="0"/>
          </reference>
        </references>
      </pivotArea>
    </chartFormat>
    <chartFormat chart="0" format="34">
      <pivotArea type="data" outline="0" fieldPosition="0">
        <references count="2">
          <reference field="4294967294" count="1" selected="0">
            <x v="0"/>
          </reference>
          <reference field="0" count="1" selected="0">
            <x v="10"/>
          </reference>
        </references>
      </pivotArea>
    </chartFormat>
    <chartFormat chart="0" format="35">
      <pivotArea type="data" outline="0" fieldPosition="0">
        <references count="2">
          <reference field="4294967294" count="1" selected="0">
            <x v="0"/>
          </reference>
          <reference field="0" count="1" selected="0">
            <x v="9"/>
          </reference>
        </references>
      </pivotArea>
    </chartFormat>
    <chartFormat chart="0" format="36">
      <pivotArea type="data" outline="0" fieldPosition="0">
        <references count="2">
          <reference field="4294967294" count="1" selected="0">
            <x v="0"/>
          </reference>
          <reference field="0" count="1" selected="0">
            <x v="8"/>
          </reference>
        </references>
      </pivotArea>
    </chartFormat>
    <chartFormat chart="0" format="37">
      <pivotArea type="data" outline="0" fieldPosition="0">
        <references count="2">
          <reference field="4294967294" count="1" selected="0">
            <x v="0"/>
          </reference>
          <reference field="0" count="1" selected="0">
            <x v="7"/>
          </reference>
        </references>
      </pivotArea>
    </chartFormat>
    <chartFormat chart="0" format="38">
      <pivotArea type="data" outline="0" fieldPosition="0">
        <references count="2">
          <reference field="4294967294" count="1" selected="0">
            <x v="0"/>
          </reference>
          <reference field="0" count="1" selected="0">
            <x v="6"/>
          </reference>
        </references>
      </pivotArea>
    </chartFormat>
    <chartFormat chart="0" format="39">
      <pivotArea type="data" outline="0" fieldPosition="0">
        <references count="2">
          <reference field="4294967294" count="1" selected="0">
            <x v="0"/>
          </reference>
          <reference field="0" count="1" selected="0">
            <x v="5"/>
          </reference>
        </references>
      </pivotArea>
    </chartFormat>
    <chartFormat chart="0" format="40">
      <pivotArea type="data" outline="0" fieldPosition="0">
        <references count="2">
          <reference field="4294967294" count="1" selected="0">
            <x v="0"/>
          </reference>
          <reference field="0" count="1" selected="0">
            <x v="4"/>
          </reference>
        </references>
      </pivotArea>
    </chartFormat>
    <chartFormat chart="0" format="41">
      <pivotArea type="data" outline="0" fieldPosition="0">
        <references count="2">
          <reference field="4294967294" count="1" selected="0">
            <x v="0"/>
          </reference>
          <reference field="0" count="1" selected="0">
            <x v="1"/>
          </reference>
        </references>
      </pivotArea>
    </chartFormat>
    <chartFormat chart="0" format="42">
      <pivotArea type="data" outline="0" fieldPosition="0">
        <references count="2">
          <reference field="4294967294" count="1" selected="0">
            <x v="0"/>
          </reference>
          <reference field="0" count="1" selected="0">
            <x v="3"/>
          </reference>
        </references>
      </pivotArea>
    </chartFormat>
    <chartFormat chart="0" format="43">
      <pivotArea type="data" outline="0" fieldPosition="0">
        <references count="2">
          <reference field="4294967294" count="1" selected="0">
            <x v="0"/>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1CC931C-F7E0-4476-9288-9F44389F09C7}"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L11:N12" firstHeaderRow="0" firstDataRow="1" firstDataCol="0" rowPageCount="1" colPageCount="1"/>
  <pivotFields count="23">
    <pivotField showAll="0"/>
    <pivotField axis="axisPage" multipleItemSelectionAllowed="1" showAll="0">
      <items count="29">
        <item x="21"/>
        <item x="8"/>
        <item x="24"/>
        <item x="9"/>
        <item m="1" x="26"/>
        <item x="16"/>
        <item x="0"/>
        <item x="20"/>
        <item x="18"/>
        <item x="15"/>
        <item x="1"/>
        <item x="12"/>
        <item m="1" x="27"/>
        <item x="13"/>
        <item x="17"/>
        <item x="10"/>
        <item x="14"/>
        <item x="2"/>
        <item x="4"/>
        <item x="5"/>
        <item x="6"/>
        <item x="3"/>
        <item x="22"/>
        <item x="23"/>
        <item x="11"/>
        <item x="7"/>
        <item x="19"/>
        <item m="1" x="25"/>
        <item t="default"/>
      </items>
    </pivotField>
    <pivotField showAll="0"/>
    <pivotField showAll="0"/>
    <pivotField numFmtId="1" showAll="0"/>
    <pivotField showAll="0"/>
    <pivotField showAll="0"/>
    <pivotField showAll="0"/>
    <pivotField showAll="0"/>
    <pivotField showAll="0"/>
    <pivotField showAll="0"/>
    <pivotField showAll="0"/>
    <pivotField showAll="0"/>
    <pivotField showAll="0"/>
    <pivotField showAll="0"/>
    <pivotField numFmtId="2" showAll="0"/>
    <pivotField showAll="0"/>
    <pivotField showAll="0"/>
    <pivotField numFmtId="175" showAll="0"/>
    <pivotField dataField="1" numFmtId="175" showAll="0"/>
    <pivotField dataField="1" numFmtId="175" showAll="0"/>
    <pivotField numFmtId="175" showAll="0"/>
    <pivotField dataField="1" numFmtId="175" showAll="0"/>
  </pivotFields>
  <rowItems count="1">
    <i/>
  </rowItems>
  <colFields count="1">
    <field x="-2"/>
  </colFields>
  <colItems count="3">
    <i>
      <x/>
    </i>
    <i i="1">
      <x v="1"/>
    </i>
    <i i="2">
      <x v="2"/>
    </i>
  </colItems>
  <pageFields count="1">
    <pageField fld="1" hier="-1"/>
  </pageFields>
  <dataFields count="3">
    <dataField name="Net CO2-emissions" fld="22" baseField="0" baseItem="1" numFmtId="175"/>
    <dataField name="CO2-Compensation" fld="20" baseField="0" baseItem="1" numFmtId="175"/>
    <dataField name="Gross CO2-emissions" fld="19" baseField="0" baseItem="2" numFmtId="175"/>
  </dataFields>
  <chartFormats count="3">
    <chartFormat chart="1" format="17" series="1">
      <pivotArea type="data" outline="0" fieldPosition="0">
        <references count="1">
          <reference field="4294967294" count="1" selected="0">
            <x v="2"/>
          </reference>
        </references>
      </pivotArea>
    </chartFormat>
    <chartFormat chart="1" format="20" series="1">
      <pivotArea type="data" outline="0" fieldPosition="0">
        <references count="1">
          <reference field="4294967294" count="1" selected="0">
            <x v="1"/>
          </reference>
        </references>
      </pivotArea>
    </chartFormat>
    <chartFormat chart="1" format="2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89D548B-D0F7-42E8-BF5D-13BB6585B4D7}"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B77:C81" firstHeaderRow="1" firstDataRow="1" firstDataCol="1" rowPageCount="1" colPageCount="1"/>
  <pivotFields count="23">
    <pivotField axis="axisPage" showAll="0">
      <items count="16">
        <item x="10"/>
        <item x="0"/>
        <item m="1" x="12"/>
        <item x="3"/>
        <item x="1"/>
        <item x="9"/>
        <item m="1" x="13"/>
        <item x="5"/>
        <item x="4"/>
        <item m="1" x="14"/>
        <item x="6"/>
        <item x="7"/>
        <item x="8"/>
        <item x="11"/>
        <item x="2"/>
        <item t="default"/>
      </items>
    </pivotField>
    <pivotField showAll="0"/>
    <pivotField showAll="0"/>
    <pivotField showAll="0"/>
    <pivotField numFmtId="1" showAll="0"/>
    <pivotField showAll="0"/>
    <pivotField showAll="0"/>
    <pivotField showAll="0"/>
    <pivotField showAll="0"/>
    <pivotField showAll="0"/>
    <pivotField showAll="0"/>
    <pivotField axis="axisRow" showAll="0">
      <items count="56">
        <item x="22"/>
        <item x="25"/>
        <item x="44"/>
        <item x="23"/>
        <item m="1" x="52"/>
        <item m="1" x="50"/>
        <item m="1" x="51"/>
        <item x="36"/>
        <item x="38"/>
        <item x="41"/>
        <item x="37"/>
        <item x="26"/>
        <item m="1" x="49"/>
        <item m="1" x="47"/>
        <item x="7"/>
        <item x="40"/>
        <item x="43"/>
        <item m="1" x="48"/>
        <item x="9"/>
        <item x="11"/>
        <item x="35"/>
        <item m="1" x="46"/>
        <item x="39"/>
        <item m="1" x="54"/>
        <item x="8"/>
        <item x="42"/>
        <item m="1" x="53"/>
        <item x="6"/>
        <item x="30"/>
        <item x="31"/>
        <item x="33"/>
        <item x="34"/>
        <item m="1" x="45"/>
        <item x="0"/>
        <item x="1"/>
        <item x="2"/>
        <item x="3"/>
        <item x="4"/>
        <item x="5"/>
        <item x="12"/>
        <item x="13"/>
        <item x="14"/>
        <item x="15"/>
        <item x="16"/>
        <item x="17"/>
        <item x="18"/>
        <item x="19"/>
        <item x="20"/>
        <item x="21"/>
        <item x="24"/>
        <item x="27"/>
        <item x="28"/>
        <item x="29"/>
        <item x="32"/>
        <item x="10"/>
        <item t="default"/>
      </items>
    </pivotField>
    <pivotField showAll="0"/>
    <pivotField dataField="1" showAll="0"/>
    <pivotField showAll="0"/>
    <pivotField showAll="0"/>
    <pivotField showAll="0"/>
    <pivotField showAll="0"/>
    <pivotField numFmtId="175" showAll="0"/>
    <pivotField numFmtId="175" showAll="0"/>
    <pivotField numFmtId="175" showAll="0"/>
    <pivotField numFmtId="175" showAll="0"/>
    <pivotField numFmtId="175" showAll="0"/>
  </pivotFields>
  <rowFields count="1">
    <field x="11"/>
  </rowFields>
  <rowItems count="4">
    <i>
      <x v="14"/>
    </i>
    <i>
      <x v="24"/>
    </i>
    <i>
      <x v="27"/>
    </i>
    <i t="grand">
      <x/>
    </i>
  </rowItems>
  <colItems count="1">
    <i/>
  </colItems>
  <pageFields count="1">
    <pageField fld="0" item="4" hier="-1"/>
  </pageFields>
  <dataFields count="1">
    <dataField name="Sum of Value_AD_kg" fld="13" baseField="0" baseItem="0"/>
  </dataFields>
  <chartFormats count="3">
    <chartFormat chart="1" format="194" series="1">
      <pivotArea type="data" outline="0" fieldPosition="0">
        <references count="1">
          <reference field="4294967294" count="1" selected="0">
            <x v="0"/>
          </reference>
        </references>
      </pivotArea>
    </chartFormat>
    <chartFormat chart="1" format="195">
      <pivotArea type="data" outline="0" fieldPosition="0">
        <references count="2">
          <reference field="4294967294" count="1" selected="0">
            <x v="0"/>
          </reference>
          <reference field="11" count="1" selected="0">
            <x v="24"/>
          </reference>
        </references>
      </pivotArea>
    </chartFormat>
    <chartFormat chart="1" format="196">
      <pivotArea type="data" outline="0" fieldPosition="0">
        <references count="2">
          <reference field="4294967294" count="1" selected="0">
            <x v="0"/>
          </reference>
          <reference field="11" count="1" selected="0">
            <x v="1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078F3A3-F377-4831-98F7-AA63F051EA76}"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8">
  <location ref="B47:E59" firstHeaderRow="1" firstDataRow="2" firstDataCol="1" rowPageCount="1" colPageCount="1"/>
  <pivotFields count="23">
    <pivotField axis="axisPage" showAll="0">
      <items count="16">
        <item x="10"/>
        <item x="0"/>
        <item m="1" x="12"/>
        <item x="3"/>
        <item x="1"/>
        <item x="9"/>
        <item m="1" x="13"/>
        <item x="5"/>
        <item x="4"/>
        <item m="1" x="14"/>
        <item x="6"/>
        <item x="7"/>
        <item x="8"/>
        <item x="11"/>
        <item x="2"/>
        <item t="default"/>
      </items>
    </pivotField>
    <pivotField showAll="0"/>
    <pivotField showAll="0"/>
    <pivotField showAll="0"/>
    <pivotField numFmtId="1" showAll="0"/>
    <pivotField showAll="0"/>
    <pivotField showAll="0"/>
    <pivotField showAll="0"/>
    <pivotField showAll="0"/>
    <pivotField showAll="0"/>
    <pivotField axis="axisRow" showAll="0">
      <items count="96">
        <item x="8"/>
        <item x="6"/>
        <item x="13"/>
        <item x="11"/>
        <item x="22"/>
        <item x="21"/>
        <item x="17"/>
        <item x="19"/>
        <item x="20"/>
        <item x="14"/>
        <item x="16"/>
        <item x="18"/>
        <item x="23"/>
        <item m="1" x="89"/>
        <item m="1" x="91"/>
        <item m="1" x="90"/>
        <item m="1" x="92"/>
        <item m="1" x="94"/>
        <item m="1" x="93"/>
        <item x="7"/>
        <item x="12"/>
        <item x="10"/>
        <item x="9"/>
        <item m="1" x="81"/>
        <item x="15"/>
        <item m="1" x="71"/>
        <item m="1" x="72"/>
        <item m="1" x="73"/>
        <item m="1" x="74"/>
        <item m="1" x="75"/>
        <item m="1" x="76"/>
        <item x="24"/>
        <item x="25"/>
        <item x="26"/>
        <item x="27"/>
        <item x="28"/>
        <item x="29"/>
        <item x="30"/>
        <item x="31"/>
        <item x="32"/>
        <item x="0"/>
        <item x="2"/>
        <item x="1"/>
        <item m="1" x="70"/>
        <item x="5"/>
        <item x="4"/>
        <item m="1" x="85"/>
        <item m="1" x="86"/>
        <item m="1" x="87"/>
        <item m="1" x="88"/>
        <item m="1" x="82"/>
        <item m="1" x="83"/>
        <item m="1" x="84"/>
        <item m="1" x="77"/>
        <item m="1" x="78"/>
        <item x="37"/>
        <item m="1" x="79"/>
        <item m="1" x="80"/>
        <item x="39"/>
        <item x="40"/>
        <item x="41"/>
        <item x="42"/>
        <item x="43"/>
        <item x="44"/>
        <item x="45"/>
        <item x="46"/>
        <item x="47"/>
        <item x="48"/>
        <item x="49"/>
        <item x="50"/>
        <item x="51"/>
        <item x="52"/>
        <item x="53"/>
        <item x="54"/>
        <item x="56"/>
        <item x="58"/>
        <item x="59"/>
        <item x="60"/>
        <item x="61"/>
        <item x="62"/>
        <item x="63"/>
        <item x="64"/>
        <item x="65"/>
        <item x="66"/>
        <item x="67"/>
        <item x="68"/>
        <item x="35"/>
        <item x="69"/>
        <item x="36"/>
        <item x="38"/>
        <item x="3"/>
        <item x="33"/>
        <item x="34"/>
        <item x="55"/>
        <item x="57"/>
        <item t="default"/>
      </items>
    </pivotField>
    <pivotField axis="axisCol" showAll="0">
      <items count="56">
        <item x="7"/>
        <item x="9"/>
        <item x="11"/>
        <item x="6"/>
        <item m="1" x="53"/>
        <item m="1" x="48"/>
        <item m="1" x="49"/>
        <item x="23"/>
        <item x="22"/>
        <item m="1" x="50"/>
        <item m="1" x="51"/>
        <item x="26"/>
        <item x="25"/>
        <item m="1" x="46"/>
        <item m="1" x="52"/>
        <item x="35"/>
        <item x="36"/>
        <item x="37"/>
        <item x="38"/>
        <item x="39"/>
        <item x="40"/>
        <item x="41"/>
        <item x="42"/>
        <item x="43"/>
        <item x="44"/>
        <item m="1" x="54"/>
        <item x="8"/>
        <item m="1" x="47"/>
        <item x="30"/>
        <item x="31"/>
        <item x="33"/>
        <item x="34"/>
        <item m="1" x="45"/>
        <item x="0"/>
        <item x="1"/>
        <item x="2"/>
        <item x="3"/>
        <item x="4"/>
        <item x="5"/>
        <item x="12"/>
        <item x="13"/>
        <item x="14"/>
        <item x="15"/>
        <item x="16"/>
        <item x="17"/>
        <item x="18"/>
        <item x="19"/>
        <item x="20"/>
        <item x="21"/>
        <item x="24"/>
        <item x="27"/>
        <item x="28"/>
        <item x="29"/>
        <item x="32"/>
        <item x="10"/>
        <item t="default"/>
      </items>
    </pivotField>
    <pivotField showAll="0"/>
    <pivotField dataField="1" showAll="0"/>
    <pivotField showAll="0"/>
    <pivotField showAll="0"/>
    <pivotField showAll="0"/>
    <pivotField showAll="0"/>
    <pivotField numFmtId="175" showAll="0"/>
    <pivotField numFmtId="175" showAll="0"/>
    <pivotField numFmtId="175" showAll="0"/>
    <pivotField numFmtId="175" showAll="0"/>
    <pivotField numFmtId="175" showAll="0"/>
  </pivotFields>
  <rowFields count="1">
    <field x="10"/>
  </rowFields>
  <rowItems count="11">
    <i>
      <x v="1"/>
    </i>
    <i>
      <x v="4"/>
    </i>
    <i>
      <x v="5"/>
    </i>
    <i>
      <x v="6"/>
    </i>
    <i>
      <x v="7"/>
    </i>
    <i>
      <x v="8"/>
    </i>
    <i>
      <x v="10"/>
    </i>
    <i>
      <x v="11"/>
    </i>
    <i>
      <x v="12"/>
    </i>
    <i>
      <x v="22"/>
    </i>
    <i t="grand">
      <x/>
    </i>
  </rowItems>
  <colFields count="1">
    <field x="11"/>
  </colFields>
  <colItems count="3">
    <i>
      <x v="1"/>
    </i>
    <i>
      <x v="2"/>
    </i>
    <i t="grand">
      <x/>
    </i>
  </colItems>
  <pageFields count="1">
    <pageField fld="0" item="3" hier="-1"/>
  </pageFields>
  <dataFields count="1">
    <dataField name="Sum of Value_AD_kg" fld="13" baseField="0" baseItem="0"/>
  </dataFields>
  <chartFormats count="4">
    <chartFormat chart="17" format="248" series="1">
      <pivotArea type="data" outline="0" fieldPosition="0">
        <references count="1">
          <reference field="11" count="1" selected="0">
            <x v="1"/>
          </reference>
        </references>
      </pivotArea>
    </chartFormat>
    <chartFormat chart="17" format="249" series="1">
      <pivotArea type="data" outline="0" fieldPosition="0">
        <references count="1">
          <reference field="11" count="1" selected="0">
            <x v="2"/>
          </reference>
        </references>
      </pivotArea>
    </chartFormat>
    <chartFormat chart="17" format="250" series="1">
      <pivotArea type="data" outline="0" fieldPosition="0">
        <references count="2">
          <reference field="4294967294" count="1" selected="0">
            <x v="0"/>
          </reference>
          <reference field="11" count="1" selected="0">
            <x v="1"/>
          </reference>
        </references>
      </pivotArea>
    </chartFormat>
    <chartFormat chart="17" format="251" series="1">
      <pivotArea type="data" outline="0" fieldPosition="0">
        <references count="2">
          <reference field="4294967294" count="1" selected="0">
            <x v="0"/>
          </reference>
          <reference field="1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0</v>
    <v>3</v>
  </rv>
</rvData>
</file>

<file path=xl/richData/rdrichvaluestructure.xml><?xml version="1.0" encoding="utf-8"?>
<rvStructures xmlns="http://schemas.microsoft.com/office/spreadsheetml/2017/richdata" count="1">
  <s t="_error">
    <k n="colOffset" t="i"/>
    <k n="errorType" t="i"/>
    <k n="rwOffset" t="i"/>
    <k n="subType" t="i"/>
  </s>
</rvStructure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_category" xr10:uid="{E78D4DF5-46C6-4778-B892-737BD16D5BC8}" sourceName="Sub-category">
  <pivotTables>
    <pivotTable tabId="31" name="PivotTable7"/>
    <pivotTable tabId="31" name="PivotTable6"/>
  </pivotTables>
  <data>
    <tabular pivotCacheId="1009132972" showMissing="0">
      <items count="28">
        <i x="0" s="1"/>
        <i x="1" s="1"/>
        <i x="21" s="1" nd="1"/>
        <i x="8" s="1" nd="1"/>
        <i x="24" s="1" nd="1"/>
        <i x="9" s="1" nd="1"/>
        <i x="16" s="1" nd="1"/>
        <i x="20" s="1" nd="1"/>
        <i x="18" s="1" nd="1"/>
        <i x="15" s="1" nd="1"/>
        <i x="12" s="1" nd="1"/>
        <i x="13" s="1" nd="1"/>
        <i x="17" s="1" nd="1"/>
        <i x="10" s="1" nd="1"/>
        <i x="14" s="1" nd="1"/>
        <i x="2" s="1" nd="1"/>
        <i x="4" s="1" nd="1"/>
        <i x="5" s="1" nd="1"/>
        <i x="6" s="1" nd="1"/>
        <i x="3" s="1" nd="1"/>
        <i x="22" s="1" nd="1"/>
        <i x="23" s="1" nd="1"/>
        <i x="11" s="1" nd="1"/>
        <i x="7" s="1" nd="1"/>
        <i x="19" s="1" nd="1"/>
        <i x="26" s="1" nd="1"/>
        <i x="27" s="1" nd="1"/>
        <i x="2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2C33CB13-7599-4178-80AE-306A397C5E82}" sourceName="Category">
  <pivotTables>
    <pivotTable tabId="31" name="PivotTable7"/>
    <pivotTable tabId="31" name="PivotTable6"/>
  </pivotTables>
  <data>
    <tabular pivotCacheId="1009132972" showMissing="0">
      <items count="15">
        <i x="11"/>
        <i x="10"/>
        <i x="8"/>
        <i x="0" s="1"/>
        <i x="7"/>
        <i x="2"/>
        <i x="3"/>
        <i x="1"/>
        <i x="9"/>
        <i x="5"/>
        <i x="4"/>
        <i x="6"/>
        <i x="12" nd="1"/>
        <i x="13" nd="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category" xr10:uid="{61513A9C-7EB5-4B77-B16E-36667973ADEF}" cache="Slicer_Sub_category" caption="Sub-category" startItem="2" style="SlicerStyleOther1" rowHeight="257175"/>
  <slicer name="Category" xr10:uid="{B9937629-EBBD-4A08-995E-B0A6B4B7DAE4}" cache="Slicer_Category" caption="Category" style="SlicerStyleOther1"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07CCCD-6D01-470E-A7B8-9BC53C0863F9}" name="Table1" displayName="Table1" ref="B4:X178" totalsRowShown="0" headerRowDxfId="49" headerRowCellStyle="Normal 4" dataCellStyle="Normal 4">
  <autoFilter ref="B4:X178" xr:uid="{CF07CCCD-6D01-470E-A7B8-9BC53C0863F9}"/>
  <tableColumns count="23">
    <tableColumn id="1" xr3:uid="{5D552D20-4FC3-44AE-A93D-90D058DE09C0}" name="Category" dataDxfId="48"/>
    <tableColumn id="2" xr3:uid="{1577796F-9CAB-4270-8747-6AAEEC38B62C}" name="Sub-category" dataDxfId="47"/>
    <tableColumn id="3" xr3:uid="{4C91AF58-6193-42DC-82C9-8381334A14EE}" name="Fill-out indicator" dataDxfId="46"/>
    <tableColumn id="4" xr3:uid="{1D92E523-A773-4E55-ACC5-A42A9CAC0131}" name="Source" dataCellStyle="Normal 4"/>
    <tableColumn id="5" xr3:uid="{EB2D4E84-6ABC-4D0E-BF09-7F099327F7E4}" name="Entry_AD_0" dataDxfId="45" dataCellStyle="Normal 4">
      <calculatedColumnFormula>IF(E5="Direct",_xlfn.XLOOKUP(D5,'Input import'!B:B,'Input import'!D:D,""),_xlfn.XLOOKUP(D5,'Facilitatory data'!E:E,'Facilitatory data'!G:G,""))</calculatedColumnFormula>
    </tableColumn>
    <tableColumn id="6" xr3:uid="{0443A8B6-ED55-45A8-BD4F-CA29DCF3DD7A}" name="Unit_AD_0" dataCellStyle="Normal 4">
      <calculatedColumnFormula>IF(E5="Direct",_xlfn.XLOOKUP(D5,'Input import'!B:B,'Input import'!E:E,_xlfn.XLOOKUP(D5,'Input sheet format'!F:F,'Input sheet format'!I:I,"")),_xlfn.XLOOKUP(D5,'Facilitatory data'!E:E,'Facilitatory data'!H:H,""))</calculatedColumnFormula>
    </tableColumn>
    <tableColumn id="7" xr3:uid="{B79AECB1-F088-4EA9-AAB2-48DA6691EE8D}" name="Conv fact 1" dataCellStyle="Normal 4"/>
    <tableColumn id="8" xr3:uid="{65E19863-FB39-4819-9C5E-20621F07E391}" name="Unit_AD_1" dataCellStyle="Normal 4"/>
    <tableColumn id="9" xr3:uid="{BA1D5409-BC6C-4656-BF9E-28A32CEC7F1F}" name="Conv fact 2" dataDxfId="44" dataCellStyle="Comma"/>
    <tableColumn id="10" xr3:uid="{EFF3D26C-D447-4D1B-AE90-1D948BAB2BB5}" name="Unit_AD_2" dataDxfId="43" dataCellStyle="Normal 4"/>
    <tableColumn id="19" xr3:uid="{739A7304-48DC-4552-9C15-96A09064F575}" name="Indicator-short" dataDxfId="42" dataCellStyle="Normal 4"/>
    <tableColumn id="18" xr3:uid="{A6B84F6E-4497-445B-B39E-0F01D0D0AD05}" name="Indicator-type" dataDxfId="41" dataCellStyle="Normal 4"/>
    <tableColumn id="16" xr3:uid="{2FD779E2-18B7-4B10-B9B5-10B16524769B}" name="Sust.-class" dataDxfId="40" dataCellStyle="Normal 4"/>
    <tableColumn id="17" xr3:uid="{A6E14432-5850-4794-BB13-B8AFBBF02FCF}" name="Value_AD_kg" dataDxfId="39" dataCellStyle="Comma"/>
    <tableColumn id="20" xr3:uid="{FF929A22-CAC9-47BC-842B-4B831000FA2F}" name="Value_AD_unit" dataDxfId="38" dataCellStyle="Comma"/>
    <tableColumn id="11" xr3:uid="{23FF166C-0AD0-4CB9-858A-A1E504EC075B}" name="EF" dataDxfId="37" dataCellStyle="Normal 4"/>
    <tableColumn id="12" xr3:uid="{9AAD006F-8304-441F-8ED8-38F5513C3B1B}" name="EF-Unit" dataDxfId="36" dataCellStyle="Normal 4"/>
    <tableColumn id="13" xr3:uid="{0A531A1E-3096-4F61-8212-48E4128BA9DD}" name="Unit check" dataDxfId="35" dataCellStyle="Check Cell">
      <calculatedColumnFormula>IFERROR(_xlfn.TEXTAFTER(R5,"/ ")=K5,"")</calculatedColumnFormula>
    </tableColumn>
    <tableColumn id="14" xr3:uid="{C6E21242-3275-41D8-A88F-E7C281E9A666}" name="Results _x000a_(kg CO2-eq)" dataDxfId="34" dataCellStyle="Normal 4">
      <calculatedColumnFormula>IFERROR(F5*H5*J5*Q5,"Error")</calculatedColumnFormula>
    </tableColumn>
    <tableColumn id="15" xr3:uid="{9707D34E-488F-4F90-92D2-C0B89F756381}" name="Results_x000a_(ton CO2-eq)" dataDxfId="33" dataCellStyle="Normal 4">
      <calculatedColumnFormula>Table1[[#This Row],[Results 
(kg CO2-eq)]]/1000</calculatedColumnFormula>
    </tableColumn>
    <tableColumn id="23" xr3:uid="{8F9D1C76-39FF-4C6D-8CB1-0592613971E9}" name="Compensation (ton)" dataDxfId="32" dataCellStyle="Normal 4">
      <calculatedColumnFormula>IF(Table1[[#This Row],[Results incl. comp. (ton CO2-eq2]]&lt;0,Table1[[#This Row],[Results incl. comp. (ton CO2-eq2]],0)</calculatedColumnFormula>
    </tableColumn>
    <tableColumn id="24" xr3:uid="{5A3BEAE5-907D-47C9-9E72-AF5748ADABBF}" name="Results incl. comp. (kg CO2-eq" dataDxfId="31" dataCellStyle="Normal 4">
      <calculatedColumnFormula>IFERROR(F5*H5*J5*Q5,"Error")</calculatedColumnFormula>
    </tableColumn>
    <tableColumn id="22" xr3:uid="{A308ED93-9A65-435C-AE86-B7A9405B0821}" name="Results incl. comp. (ton CO2-eq2" dataDxfId="30" dataCellStyle="Normal 4">
      <calculatedColumnFormula>Table1[[#This Row],[Results
(ton CO2-eq)]]</calculatedColumnFormula>
    </tableColumn>
  </tableColumns>
  <tableStyleInfo name="TableStyleMedium1" showFirstColumn="0" showLastColumn="0" showRowStripes="0"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20" dT="2025-10-06T08:03:29.09" personId="{E8BBF414-3254-47DF-93A5-9146B180A431}" id="{53CDE75C-48D1-4432-8508-72C682B051AD}">
    <text>Gemiddeld festival meal is 200 gram</text>
  </threadedComment>
</ThreadedComments>
</file>

<file path=xl/threadedComments/threadedComment2.xml><?xml version="1.0" encoding="utf-8"?>
<ThreadedComments xmlns="http://schemas.microsoft.com/office/spreadsheetml/2018/threadedcomments" xmlns:x="http://schemas.openxmlformats.org/spreadsheetml/2006/main">
  <threadedComment ref="F287" dT="2025-10-21T13:05:30.64" personId="{E8BBF414-3254-47DF-93A5-9146B180A431}" id="{9B004A6D-491E-4C70-8F7B-D8FCBCD05984}">
    <text>Retrieved from CO2-calculation</text>
  </threadedComment>
  <threadedComment ref="F288" dT="2025-10-21T13:05:30.64" personId="{E8BBF414-3254-47DF-93A5-9146B180A431}" id="{CE96629F-DAA5-4D0A-9784-BC047825490D}">
    <text>Retrieved from CO2-calculation</text>
  </threadedComment>
  <threadedComment ref="F292" dT="2025-10-21T13:05:30.64" personId="{E8BBF414-3254-47DF-93A5-9146B180A431}" id="{B74BA55D-BD89-4CB7-9BC3-3FE38989AC44}">
    <text>Retrieved from CO2-calculation</text>
  </threadedComment>
  <threadedComment ref="F293" dT="2025-10-21T13:05:30.64" personId="{E8BBF414-3254-47DF-93A5-9146B180A431}" id="{9FB2D85F-892C-4890-B0F6-E03705E27811}">
    <text>Retrieved from CO2-calculation</text>
  </threadedComment>
  <threadedComment ref="F298" dT="2025-10-21T13:05:30.64" personId="{E8BBF414-3254-47DF-93A5-9146B180A431}" id="{0A5122D5-3271-4279-9196-F59AC7D4B751}">
    <text>Retrieved from CO2-calculation</text>
  </threadedComment>
  <threadedComment ref="F299" dT="2025-10-21T13:05:30.64" personId="{E8BBF414-3254-47DF-93A5-9146B180A431}" id="{B1BEA46B-EA31-43A9-9E24-52F61AD24981}">
    <text>Retrieved from CO2-calculation</text>
  </threadedComment>
  <threadedComment ref="F304" dT="2025-10-21T13:05:30.64" personId="{E8BBF414-3254-47DF-93A5-9146B180A431}" id="{2876BD06-00C7-485D-928D-5CC06295DB78}">
    <text>Retrieved from CO2-calculation</text>
  </threadedComment>
  <threadedComment ref="F305" dT="2025-10-21T13:05:30.64" personId="{E8BBF414-3254-47DF-93A5-9146B180A431}" id="{9710973E-BAC6-4A7C-B150-493D6849608D}">
    <text>Retrieved from CO2-calculation</text>
  </threadedComment>
  <threadedComment ref="F306" dT="2025-10-21T13:05:30.64" personId="{E8BBF414-3254-47DF-93A5-9146B180A431}" id="{97AFB1B0-635C-4193-91CB-584D121170F1}">
    <text>Retrieved from CO2-calculation</text>
  </threadedComment>
  <threadedComment ref="F312" dT="2025-10-21T13:05:30.64" personId="{E8BBF414-3254-47DF-93A5-9146B180A431}" id="{6F52C8AE-47A8-418A-A645-AF382BDA6B79}">
    <text>Retrieved from CO2-calculation</text>
  </threadedComment>
  <threadedComment ref="F313" dT="2025-10-21T13:05:30.64" personId="{E8BBF414-3254-47DF-93A5-9146B180A431}" id="{D7F063D2-A038-4FB4-BA62-97504B4EE0CB}">
    <text>Retrieved from CO2-calculation</text>
  </threadedComment>
  <threadedComment ref="F314" dT="2025-10-21T13:05:30.64" personId="{E8BBF414-3254-47DF-93A5-9146B180A431}" id="{2E86A035-A77D-4B0B-936B-2917764E6243}">
    <text>Retrieved from CO2-calculation</text>
  </threadedComment>
  <threadedComment ref="F319" dT="2025-10-21T13:05:30.64" personId="{E8BBF414-3254-47DF-93A5-9146B180A431}" id="{4D6192F3-4660-4803-9235-EB4FDEDE719F}">
    <text>Retrieved from CO2-calculation</text>
  </threadedComment>
  <threadedComment ref="F320" dT="2025-10-21T13:05:30.64" personId="{E8BBF414-3254-47DF-93A5-9146B180A431}" id="{89311618-FB8B-46DA-859E-2D025C568183}">
    <text>Retrieved from CO2-calculation</text>
  </threadedComment>
  <threadedComment ref="F323" dT="2025-10-21T13:05:30.64" personId="{E8BBF414-3254-47DF-93A5-9146B180A431}" id="{32C76E03-C546-4C71-B6AB-1ADA0043F0E3}">
    <text>Retrieved from CO2-calculation</text>
  </threadedComment>
  <threadedComment ref="F324" dT="2025-10-21T13:05:30.64" personId="{E8BBF414-3254-47DF-93A5-9146B180A431}" id="{4C982198-325A-420E-84E3-72EBBF86B63A}">
    <text>Retrieved from CO2-calculation</text>
  </threadedComment>
  <threadedComment ref="F330" dT="2025-10-21T13:05:30.64" personId="{E8BBF414-3254-47DF-93A5-9146B180A431}" id="{4513E867-02B6-4397-8ECF-BF1B2377FDD3}">
    <text>Retrieved from CO2-calculation</text>
  </threadedComment>
  <threadedComment ref="F331" dT="2025-10-21T13:05:30.64" personId="{E8BBF414-3254-47DF-93A5-9146B180A431}" id="{05128B0E-118F-4138-AFAC-4B2AB0E08D5F}">
    <text>Retrieved from CO2-calculation</text>
  </threadedComment>
  <threadedComment ref="F332" dT="2025-10-21T13:05:30.64" personId="{E8BBF414-3254-47DF-93A5-9146B180A431}" id="{0DC732D9-557F-494C-91EE-8324047EF606}">
    <text>Retrieved from CO2-calculation</text>
  </threadedComment>
  <threadedComment ref="F333" dT="2025-10-21T13:05:30.64" personId="{E8BBF414-3254-47DF-93A5-9146B180A431}" id="{C84CA73D-465C-4A1A-83A5-CDBBCA967C1E}">
    <text>Retrieved from CO2-calculation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missionreuse.com/wp-content/uploads/2023/03/reusable-tableware-at-festivals.pdf" TargetMode="External"/></Relationships>
</file>

<file path=xl/worksheets/_rels/sheet13.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12CF0-3E33-4AAF-8C9D-2C78A929082F}">
  <sheetPr codeName="Sheet3"/>
  <dimension ref="A1:F37"/>
  <sheetViews>
    <sheetView tabSelected="1" zoomScale="130" zoomScaleNormal="130" workbookViewId="0"/>
  </sheetViews>
  <sheetFormatPr baseColWidth="10" defaultColWidth="0" defaultRowHeight="16" zeroHeight="1"/>
  <cols>
    <col min="1" max="1" width="9" style="993" customWidth="1"/>
    <col min="2" max="2" width="7.1640625" style="993" customWidth="1"/>
    <col min="3" max="3" width="22.5" style="993" bestFit="1" customWidth="1"/>
    <col min="4" max="4" width="9" style="993" customWidth="1"/>
    <col min="5" max="5" width="90.33203125" style="993" bestFit="1" customWidth="1"/>
    <col min="6" max="6" width="33.6640625" style="993" customWidth="1"/>
    <col min="7" max="16384" width="9" style="993" hidden="1"/>
  </cols>
  <sheetData>
    <row r="1" spans="1:6" s="995" customFormat="1" ht="30" customHeight="1">
      <c r="E1" s="1214" t="s">
        <v>1927</v>
      </c>
      <c r="F1" s="1216" t="s">
        <v>1928</v>
      </c>
    </row>
    <row r="2" spans="1:6" s="995" customFormat="1" ht="30" customHeight="1">
      <c r="E2" s="1215"/>
      <c r="F2" s="1217"/>
    </row>
    <row r="3" spans="1:6">
      <c r="A3" s="1037"/>
      <c r="B3" s="1037"/>
      <c r="C3" s="1037"/>
      <c r="D3" s="1037"/>
      <c r="E3" s="1037"/>
      <c r="F3" s="1037"/>
    </row>
    <row r="4" spans="1:6" ht="130" customHeight="1">
      <c r="A4" s="1037"/>
      <c r="B4" s="1218" t="s">
        <v>1905</v>
      </c>
      <c r="C4" s="1218"/>
      <c r="D4" s="1218"/>
      <c r="E4" s="1218"/>
      <c r="F4" s="1037"/>
    </row>
    <row r="5" spans="1:6">
      <c r="A5" s="1037"/>
      <c r="B5" s="1037"/>
      <c r="C5" s="1037"/>
      <c r="D5" s="1037"/>
      <c r="E5" s="1037"/>
      <c r="F5" s="1037"/>
    </row>
    <row r="6" spans="1:6" ht="19">
      <c r="A6" s="1037"/>
      <c r="B6" s="1047" t="s">
        <v>1698</v>
      </c>
      <c r="C6" s="1038"/>
      <c r="D6" s="1037"/>
      <c r="E6" s="1037"/>
      <c r="F6" s="1037"/>
    </row>
    <row r="7" spans="1:6" ht="35" customHeight="1">
      <c r="A7" s="1037"/>
      <c r="B7" s="1037"/>
      <c r="C7" s="1037"/>
      <c r="D7" s="1037"/>
      <c r="E7" s="1044" t="s">
        <v>1700</v>
      </c>
      <c r="F7" s="1037"/>
    </row>
    <row r="8" spans="1:6" ht="11" customHeight="1">
      <c r="A8" s="1037"/>
      <c r="B8" s="1037"/>
      <c r="C8" s="1037"/>
      <c r="D8" s="1037"/>
      <c r="E8" s="1039"/>
      <c r="F8" s="1037"/>
    </row>
    <row r="9" spans="1:6" ht="35" customHeight="1">
      <c r="A9" s="1037"/>
      <c r="B9" s="1037"/>
      <c r="C9" s="1037"/>
      <c r="D9" s="1037"/>
      <c r="E9" s="1044" t="s">
        <v>1701</v>
      </c>
      <c r="F9" s="1037"/>
    </row>
    <row r="10" spans="1:6" ht="11" customHeight="1">
      <c r="A10" s="1037"/>
      <c r="B10" s="1037"/>
      <c r="C10" s="1038"/>
      <c r="D10" s="1037"/>
      <c r="E10" s="1039"/>
      <c r="F10" s="1037"/>
    </row>
    <row r="11" spans="1:6" ht="35" customHeight="1">
      <c r="A11" s="1037"/>
      <c r="B11" s="1037"/>
      <c r="C11" s="1038"/>
      <c r="D11" s="1037"/>
      <c r="E11" s="1045" t="s">
        <v>1702</v>
      </c>
      <c r="F11" s="1037"/>
    </row>
    <row r="12" spans="1:6" ht="11" customHeight="1">
      <c r="A12" s="1037"/>
      <c r="B12" s="1037"/>
      <c r="C12" s="1038"/>
      <c r="D12" s="1037"/>
      <c r="E12" s="1039"/>
      <c r="F12" s="1037"/>
    </row>
    <row r="13" spans="1:6" ht="35" customHeight="1">
      <c r="A13" s="1037"/>
      <c r="B13" s="1037"/>
      <c r="C13" s="1038"/>
      <c r="D13" s="1037"/>
      <c r="E13" s="1045" t="s">
        <v>1703</v>
      </c>
      <c r="F13" s="1037"/>
    </row>
    <row r="14" spans="1:6" ht="11" customHeight="1">
      <c r="A14" s="1037"/>
      <c r="B14" s="1037"/>
      <c r="C14" s="1038"/>
      <c r="D14" s="1037"/>
      <c r="E14" s="1039"/>
      <c r="F14" s="1037"/>
    </row>
    <row r="15" spans="1:6" ht="35" customHeight="1">
      <c r="A15" s="1037"/>
      <c r="B15" s="1037"/>
      <c r="C15" s="1038"/>
      <c r="D15" s="1037"/>
      <c r="E15" s="1046" t="s">
        <v>1704</v>
      </c>
      <c r="F15" s="1037"/>
    </row>
    <row r="16" spans="1:6" ht="19">
      <c r="A16" s="1037"/>
      <c r="B16" s="1037"/>
      <c r="C16" s="1038"/>
      <c r="D16" s="1037"/>
      <c r="E16" s="1037"/>
      <c r="F16" s="1037"/>
    </row>
    <row r="17" spans="1:6" ht="19">
      <c r="A17" s="1037"/>
      <c r="B17" s="1047" t="s">
        <v>1699</v>
      </c>
      <c r="C17" s="1038"/>
      <c r="D17" s="1037"/>
      <c r="E17" s="1037"/>
      <c r="F17" s="1037"/>
    </row>
    <row r="18" spans="1:6" ht="35" customHeight="1">
      <c r="A18" s="1037"/>
      <c r="B18" s="1037"/>
      <c r="C18" s="1038"/>
      <c r="D18" s="1037"/>
      <c r="E18" s="1040" t="s">
        <v>1705</v>
      </c>
      <c r="F18" s="1037"/>
    </row>
    <row r="19" spans="1:6" ht="11" customHeight="1">
      <c r="A19" s="1037"/>
      <c r="B19" s="1037"/>
      <c r="C19" s="1038"/>
      <c r="D19" s="1037"/>
      <c r="E19" s="1037"/>
      <c r="F19" s="1037"/>
    </row>
    <row r="20" spans="1:6" ht="35" customHeight="1">
      <c r="A20" s="1037"/>
      <c r="B20" s="1037"/>
      <c r="C20" s="1038"/>
      <c r="D20" s="1037"/>
      <c r="E20" s="1040" t="s">
        <v>1707</v>
      </c>
      <c r="F20" s="1037"/>
    </row>
    <row r="21" spans="1:6" ht="11" customHeight="1">
      <c r="A21" s="1037"/>
      <c r="B21" s="1037"/>
      <c r="C21" s="1038"/>
      <c r="D21" s="1037"/>
      <c r="E21" s="1037"/>
      <c r="F21" s="1037"/>
    </row>
    <row r="22" spans="1:6" ht="35" customHeight="1">
      <c r="A22" s="1037"/>
      <c r="B22" s="1037"/>
      <c r="C22" s="1038"/>
      <c r="D22" s="1037"/>
      <c r="E22" s="1040" t="s">
        <v>1706</v>
      </c>
      <c r="F22" s="1037"/>
    </row>
    <row r="23" spans="1:6" ht="19">
      <c r="A23" s="1037"/>
      <c r="B23" s="1037"/>
      <c r="C23" s="1038"/>
      <c r="D23" s="1037"/>
      <c r="E23" s="1037"/>
      <c r="F23" s="1037"/>
    </row>
    <row r="24" spans="1:6" ht="42" customHeight="1">
      <c r="A24" s="1037"/>
      <c r="B24" s="1251" t="s">
        <v>1932</v>
      </c>
      <c r="C24" s="1251"/>
      <c r="D24" s="1251"/>
      <c r="E24" s="1251"/>
      <c r="F24" s="1037"/>
    </row>
    <row r="25" spans="1:6" ht="19">
      <c r="A25" s="1037"/>
      <c r="B25" s="1037"/>
      <c r="C25" s="1038"/>
      <c r="D25" s="1037"/>
      <c r="E25" s="1037"/>
      <c r="F25" s="1037"/>
    </row>
    <row r="26" spans="1:6" ht="19" hidden="1">
      <c r="A26" s="1037"/>
      <c r="B26" s="1037"/>
      <c r="C26" s="1038"/>
      <c r="D26" s="1037"/>
      <c r="E26" s="1037"/>
      <c r="F26" s="1037"/>
    </row>
    <row r="27" spans="1:6" ht="19" hidden="1">
      <c r="A27" s="1037"/>
      <c r="B27" s="1037"/>
      <c r="C27" s="1038"/>
      <c r="D27" s="1037"/>
      <c r="E27" s="1037"/>
      <c r="F27" s="1037"/>
    </row>
    <row r="28" spans="1:6" ht="19" hidden="1">
      <c r="A28" s="1037"/>
      <c r="B28" s="1037"/>
      <c r="C28" s="1038"/>
      <c r="D28" s="1037"/>
      <c r="E28" s="1037"/>
      <c r="F28" s="1037"/>
    </row>
    <row r="29" spans="1:6" ht="19" hidden="1">
      <c r="A29" s="1037"/>
      <c r="B29" s="1037"/>
      <c r="C29" s="1038"/>
      <c r="D29" s="1037"/>
      <c r="E29" s="1037"/>
      <c r="F29" s="1037"/>
    </row>
    <row r="30" spans="1:6" ht="19" hidden="1">
      <c r="A30" s="1037"/>
      <c r="B30" s="1037"/>
      <c r="C30" s="1038"/>
      <c r="D30" s="1037"/>
      <c r="E30" s="1037"/>
      <c r="F30" s="1037"/>
    </row>
    <row r="31" spans="1:6" ht="19" hidden="1">
      <c r="A31" s="1037"/>
      <c r="B31" s="1037"/>
      <c r="C31" s="1038"/>
      <c r="D31" s="1037"/>
      <c r="E31" s="1037"/>
      <c r="F31" s="1037"/>
    </row>
    <row r="32" spans="1:6" ht="19" hidden="1">
      <c r="A32" s="1037"/>
      <c r="B32" s="1037"/>
      <c r="C32" s="1038"/>
      <c r="D32" s="1037"/>
      <c r="E32" s="1037"/>
      <c r="F32" s="1037"/>
    </row>
    <row r="33" spans="1:6" ht="19" hidden="1">
      <c r="A33" s="1037"/>
      <c r="B33" s="1037"/>
      <c r="C33" s="1038"/>
      <c r="D33" s="1037"/>
      <c r="E33" s="1037"/>
      <c r="F33" s="1037"/>
    </row>
    <row r="34" spans="1:6" ht="19" hidden="1">
      <c r="A34" s="1037"/>
      <c r="B34" s="1037"/>
      <c r="C34" s="1038"/>
      <c r="D34" s="1037"/>
      <c r="E34" s="1037"/>
      <c r="F34" s="1037"/>
    </row>
    <row r="35" spans="1:6" ht="19" hidden="1">
      <c r="A35" s="1037"/>
      <c r="B35" s="1037"/>
      <c r="C35" s="1038"/>
      <c r="D35" s="1037"/>
      <c r="E35" s="1037"/>
      <c r="F35" s="1037"/>
    </row>
    <row r="36" spans="1:6" ht="19" hidden="1">
      <c r="A36" s="1037"/>
      <c r="B36" s="1037"/>
      <c r="C36" s="1038"/>
      <c r="D36" s="1037"/>
      <c r="E36" s="1037"/>
      <c r="F36" s="1037"/>
    </row>
    <row r="37" spans="1:6" ht="19" hidden="1">
      <c r="A37" s="1037"/>
      <c r="B37" s="1037"/>
      <c r="C37" s="1038"/>
      <c r="D37" s="1037"/>
      <c r="E37" s="1037"/>
      <c r="F37" s="1037"/>
    </row>
  </sheetData>
  <mergeCells count="4">
    <mergeCell ref="E1:E2"/>
    <mergeCell ref="F1:F2"/>
    <mergeCell ref="B4:E4"/>
    <mergeCell ref="B24:E24"/>
  </mergeCells>
  <pageMargins left="0.7" right="0.7" top="0.75" bottom="0.75" header="0.3" footer="0.3"/>
  <pageSetup paperSize="9" orientation="portrait" horizontalDpi="0" verticalDpi="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6E76-BF5F-483D-82AF-7CBA3FC95103}">
  <sheetPr codeName="Sheet12">
    <tabColor theme="0" tint="-0.249977111117893"/>
  </sheetPr>
  <dimension ref="A1:Z384"/>
  <sheetViews>
    <sheetView zoomScale="83" zoomScaleNormal="83" workbookViewId="0"/>
  </sheetViews>
  <sheetFormatPr baseColWidth="10" defaultColWidth="0" defaultRowHeight="16" zeroHeight="1"/>
  <cols>
    <col min="1" max="1" width="2.6640625" style="154" customWidth="1"/>
    <col min="2" max="2" width="17.83203125" style="653" bestFit="1" customWidth="1"/>
    <col min="3" max="3" width="21.6640625" style="653" customWidth="1"/>
    <col min="4" max="4" width="60.6640625" style="819" customWidth="1"/>
    <col min="5" max="5" width="8" style="653" customWidth="1"/>
    <col min="6" max="6" width="11.6640625" style="814" customWidth="1"/>
    <col min="7" max="7" width="14" style="819" customWidth="1"/>
    <col min="8" max="8" width="7.5" style="653" customWidth="1"/>
    <col min="9" max="9" width="12.1640625" style="653" customWidth="1"/>
    <col min="10" max="10" width="7.6640625" style="815" customWidth="1"/>
    <col min="11" max="11" width="12.1640625" style="653" customWidth="1"/>
    <col min="12" max="14" width="14" style="653" customWidth="1"/>
    <col min="15" max="16" width="14" style="1035" customWidth="1"/>
    <col min="17" max="17" width="8.6640625" style="703" bestFit="1" customWidth="1"/>
    <col min="18" max="18" width="19.1640625" style="653" bestFit="1" customWidth="1"/>
    <col min="19" max="19" width="10.83203125" style="653" customWidth="1"/>
    <col min="20" max="20" width="11.6640625" style="816" bestFit="1" customWidth="1"/>
    <col min="21" max="21" width="11.1640625" style="653" customWidth="1"/>
    <col min="22" max="22" width="10.5" style="653" customWidth="1"/>
    <col min="23" max="23" width="10.83203125" style="653" customWidth="1"/>
    <col min="24" max="24" width="11.33203125" style="653" customWidth="1"/>
    <col min="25" max="16384" width="9" style="653" hidden="1"/>
  </cols>
  <sheetData>
    <row r="1" spans="1:26" s="424" customFormat="1" ht="46.5" customHeight="1">
      <c r="A1" s="154"/>
      <c r="B1" s="422" t="s">
        <v>1694</v>
      </c>
      <c r="C1" s="422"/>
      <c r="D1" s="1249" t="s">
        <v>1695</v>
      </c>
      <c r="E1" s="1249"/>
      <c r="F1" s="1249"/>
      <c r="G1" s="1249"/>
      <c r="H1" s="1249"/>
      <c r="I1" s="1249"/>
      <c r="J1" s="1249"/>
      <c r="K1" s="1249"/>
      <c r="L1" s="1249"/>
      <c r="M1" s="1249"/>
      <c r="N1" s="1249"/>
    </row>
    <row r="2" spans="1:26" s="997" customFormat="1" ht="19" customHeight="1">
      <c r="A2" s="154"/>
      <c r="B2" s="423"/>
      <c r="C2" s="998"/>
      <c r="D2" s="999"/>
      <c r="E2" s="999"/>
      <c r="F2" s="998"/>
      <c r="G2" s="1213"/>
      <c r="H2" s="1213"/>
      <c r="I2" s="1213"/>
      <c r="J2" s="1213"/>
      <c r="K2" s="1213"/>
      <c r="L2" s="996"/>
      <c r="M2" s="996"/>
      <c r="N2" s="996"/>
      <c r="O2" s="996"/>
      <c r="P2" s="996"/>
      <c r="Q2" s="996"/>
      <c r="R2" s="996"/>
      <c r="S2" s="996"/>
      <c r="T2" s="996"/>
      <c r="U2" s="996"/>
      <c r="V2" s="996"/>
      <c r="W2" s="996"/>
      <c r="X2" s="996"/>
      <c r="Y2" s="996"/>
      <c r="Z2" s="996"/>
    </row>
    <row r="3" spans="1:26" s="986" customFormat="1" ht="21">
      <c r="A3" s="155"/>
      <c r="F3" s="1064"/>
      <c r="J3" s="1061"/>
      <c r="O3" s="1062"/>
      <c r="P3" s="1062"/>
      <c r="Q3" s="964"/>
      <c r="T3" s="1063"/>
    </row>
    <row r="4" spans="1:26" ht="48">
      <c r="B4" s="882" t="s">
        <v>991</v>
      </c>
      <c r="C4" s="882" t="s">
        <v>1137</v>
      </c>
      <c r="D4" s="1119" t="s">
        <v>1138</v>
      </c>
      <c r="E4" s="882" t="s">
        <v>993</v>
      </c>
      <c r="F4" s="1120" t="s">
        <v>1139</v>
      </c>
      <c r="G4" s="1119" t="s">
        <v>1140</v>
      </c>
      <c r="H4" s="882" t="s">
        <v>1141</v>
      </c>
      <c r="I4" s="882" t="s">
        <v>1142</v>
      </c>
      <c r="J4" s="1121" t="s">
        <v>1143</v>
      </c>
      <c r="K4" s="882" t="s">
        <v>1144</v>
      </c>
      <c r="L4" s="882" t="s">
        <v>1634</v>
      </c>
      <c r="M4" s="882" t="s">
        <v>1635</v>
      </c>
      <c r="N4" s="882" t="s">
        <v>1802</v>
      </c>
      <c r="O4" s="1122" t="s">
        <v>1822</v>
      </c>
      <c r="P4" s="1122" t="s">
        <v>1715</v>
      </c>
      <c r="Q4" s="1123" t="s">
        <v>1145</v>
      </c>
      <c r="R4" s="882" t="s">
        <v>1146</v>
      </c>
      <c r="S4" s="882" t="s">
        <v>1147</v>
      </c>
      <c r="T4" s="817" t="s">
        <v>1148</v>
      </c>
      <c r="U4" s="882" t="s">
        <v>1604</v>
      </c>
      <c r="V4" s="882" t="s">
        <v>1810</v>
      </c>
      <c r="W4" s="882" t="s">
        <v>1809</v>
      </c>
      <c r="X4" s="882" t="s">
        <v>1808</v>
      </c>
    </row>
    <row r="5" spans="1:26">
      <c r="B5" s="818" t="s">
        <v>1149</v>
      </c>
      <c r="C5" s="818" t="s">
        <v>1150</v>
      </c>
      <c r="D5" s="818" t="s">
        <v>78</v>
      </c>
      <c r="E5" s="653" t="s">
        <v>1151</v>
      </c>
      <c r="F5" s="814">
        <f>IF(E5="Direct",_xlfn.XLOOKUP(D5,'Input import'!B:B,'Input import'!D:D,""),_xlfn.XLOOKUP(D5,'Facilitatory data'!E:E,'Facilitatory data'!G:G,""))</f>
        <v>0</v>
      </c>
      <c r="G5" s="653" t="str">
        <f>IF(E5="Direct",_xlfn.XLOOKUP(D5,'Input import'!B:B,'Input import'!E:E,_xlfn.XLOOKUP(D5,'Input sheet format'!F:F,'Input sheet format'!I:I,"")),_xlfn.XLOOKUP(D5,'Facilitatory data'!E:E,'Facilitatory data'!H:H,""))</f>
        <v>kWh</v>
      </c>
      <c r="H5" s="653">
        <v>1</v>
      </c>
      <c r="I5" s="653" t="s">
        <v>79</v>
      </c>
      <c r="J5" s="811">
        <v>1</v>
      </c>
      <c r="K5" s="653" t="s">
        <v>79</v>
      </c>
      <c r="L5" s="1098" t="s">
        <v>1150</v>
      </c>
      <c r="M5" s="1098" t="s">
        <v>1659</v>
      </c>
      <c r="N5" s="1034" t="s">
        <v>1663</v>
      </c>
      <c r="P5" s="1097" t="s">
        <v>583</v>
      </c>
      <c r="Q5" s="703">
        <f>'Emission factors - list'!$D$8</f>
        <v>0</v>
      </c>
      <c r="R5" s="653" t="str">
        <f>'Emission factors - list'!E8</f>
        <v>kg CO2 / kWh</v>
      </c>
      <c r="S5" s="961" t="b">
        <f t="shared" ref="S5:S36" si="0">IFERROR(_xlfn.TEXTAFTER(R5,"/ ")=K5,"")</f>
        <v>1</v>
      </c>
      <c r="T5" s="816">
        <f t="shared" ref="T5:T36" si="1">IFERROR(F5*H5*J5*Q5,"Error")</f>
        <v>0</v>
      </c>
      <c r="U5" s="816">
        <f>Table1[[#This Row],[Results 
(kg CO2-eq)]]/1000</f>
        <v>0</v>
      </c>
      <c r="V5" s="816">
        <f>IF(Table1[[#This Row],[Results incl. comp. (ton CO2-eq2]]&lt;0,Table1[[#This Row],[Results incl. comp. (ton CO2-eq2]],0)</f>
        <v>0</v>
      </c>
      <c r="W5" s="816">
        <f t="shared" ref="W5:W36" si="2">IFERROR(F5*H5*J5*Q5,"Error")</f>
        <v>0</v>
      </c>
      <c r="X5" s="816">
        <f>Table1[[#This Row],[Results
(ton CO2-eq)]]</f>
        <v>0</v>
      </c>
    </row>
    <row r="6" spans="1:26">
      <c r="B6" s="818" t="s">
        <v>1149</v>
      </c>
      <c r="C6" s="818" t="s">
        <v>1150</v>
      </c>
      <c r="D6" s="818" t="s">
        <v>81</v>
      </c>
      <c r="E6" s="653" t="s">
        <v>1151</v>
      </c>
      <c r="F6" s="814">
        <f>IF(E6="Direct",_xlfn.XLOOKUP(D6,'Input import'!B:B,'Input import'!D:D,""),_xlfn.XLOOKUP(D6,'Facilitatory data'!E:E,'Facilitatory data'!G:G,""))</f>
        <v>0</v>
      </c>
      <c r="G6" s="653" t="str">
        <f>IF(E6="Direct",_xlfn.XLOOKUP(D6,'Input import'!B:B,'Input import'!E:E,_xlfn.XLOOKUP(D6,'Input sheet format'!F:F,'Input sheet format'!I:I,"")),_xlfn.XLOOKUP(D6,'Facilitatory data'!E:E,'Facilitatory data'!H:H,""))</f>
        <v>kWh</v>
      </c>
      <c r="H6" s="653">
        <v>1</v>
      </c>
      <c r="I6" s="653" t="s">
        <v>79</v>
      </c>
      <c r="J6" s="811">
        <v>1</v>
      </c>
      <c r="K6" s="653" t="s">
        <v>79</v>
      </c>
      <c r="L6" s="1098" t="s">
        <v>1150</v>
      </c>
      <c r="M6" s="1098" t="s">
        <v>1659</v>
      </c>
      <c r="N6" s="1034" t="s">
        <v>1665</v>
      </c>
      <c r="Q6" s="703">
        <f>'Emission factors - list'!D7</f>
        <v>0.38521996819553</v>
      </c>
      <c r="R6" s="653" t="str">
        <f>'Emission factors - list'!E7</f>
        <v>kg CO2 / kWh</v>
      </c>
      <c r="S6" s="961" t="b">
        <f t="shared" si="0"/>
        <v>1</v>
      </c>
      <c r="T6" s="816">
        <f t="shared" si="1"/>
        <v>0</v>
      </c>
      <c r="U6" s="816">
        <f>Table1[[#This Row],[Results 
(kg CO2-eq)]]/1000</f>
        <v>0</v>
      </c>
      <c r="V6" s="816">
        <f>IF(Table1[[#This Row],[Results incl. comp. (ton CO2-eq2]]&lt;0,Table1[[#This Row],[Results incl. comp. (ton CO2-eq2]],0)</f>
        <v>0</v>
      </c>
      <c r="W6" s="816">
        <f t="shared" si="2"/>
        <v>0</v>
      </c>
      <c r="X6" s="816">
        <f>Table1[[#This Row],[Results
(ton CO2-eq)]]</f>
        <v>0</v>
      </c>
    </row>
    <row r="7" spans="1:26">
      <c r="B7" s="818" t="s">
        <v>1149</v>
      </c>
      <c r="C7" s="818" t="s">
        <v>1150</v>
      </c>
      <c r="D7" s="818" t="s">
        <v>83</v>
      </c>
      <c r="E7" s="653" t="s">
        <v>1151</v>
      </c>
      <c r="F7" s="814">
        <f>IF(E7="Direct",_xlfn.XLOOKUP(D7,'Input import'!B:B,'Input import'!D:D,""),_xlfn.XLOOKUP(D7,'Facilitatory data'!E:E,'Facilitatory data'!G:G,""))</f>
        <v>0</v>
      </c>
      <c r="G7" s="653" t="str">
        <f>IF(E7="Direct",_xlfn.XLOOKUP(D7,'Input import'!B:B,'Input import'!E:E,_xlfn.XLOOKUP(D7,'Input sheet format'!F:F,'Input sheet format'!I:I,"")),_xlfn.XLOOKUP(D7,'Facilitatory data'!E:E,'Facilitatory data'!H:H,""))</f>
        <v>kWh</v>
      </c>
      <c r="H7" s="653">
        <v>1</v>
      </c>
      <c r="I7" s="653" t="s">
        <v>79</v>
      </c>
      <c r="J7" s="811">
        <v>1</v>
      </c>
      <c r="K7" s="653" t="s">
        <v>79</v>
      </c>
      <c r="L7" s="1098" t="s">
        <v>1150</v>
      </c>
      <c r="M7" s="1098" t="s">
        <v>1800</v>
      </c>
      <c r="N7" s="1034" t="s">
        <v>1663</v>
      </c>
      <c r="Q7" s="703">
        <f>'Emission factors - list'!D8</f>
        <v>0</v>
      </c>
      <c r="R7" s="653" t="str">
        <f>'Emission factors - list'!E8</f>
        <v>kg CO2 / kWh</v>
      </c>
      <c r="S7" s="961" t="b">
        <f t="shared" si="0"/>
        <v>1</v>
      </c>
      <c r="T7" s="816">
        <f t="shared" si="1"/>
        <v>0</v>
      </c>
      <c r="U7" s="816">
        <f>Table1[[#This Row],[Results 
(kg CO2-eq)]]/1000</f>
        <v>0</v>
      </c>
      <c r="V7" s="816">
        <f>IF(Table1[[#This Row],[Results incl. comp. (ton CO2-eq2]]&lt;0,Table1[[#This Row],[Results incl. comp. (ton CO2-eq2]],0)</f>
        <v>0</v>
      </c>
      <c r="W7" s="816">
        <f t="shared" si="2"/>
        <v>0</v>
      </c>
      <c r="X7" s="816">
        <f>Table1[[#This Row],[Results
(ton CO2-eq)]]</f>
        <v>0</v>
      </c>
    </row>
    <row r="8" spans="1:26">
      <c r="B8" s="818" t="s">
        <v>1149</v>
      </c>
      <c r="C8" s="818" t="s">
        <v>1150</v>
      </c>
      <c r="D8" s="818" t="s">
        <v>85</v>
      </c>
      <c r="E8" s="653" t="s">
        <v>1151</v>
      </c>
      <c r="F8" s="814">
        <f>IF(E8="Direct",_xlfn.XLOOKUP(D8,'Input import'!B:B,'Input import'!D:D,""),_xlfn.XLOOKUP(D8,'Facilitatory data'!E:E,'Facilitatory data'!G:G,""))</f>
        <v>0</v>
      </c>
      <c r="G8" s="653" t="str">
        <f>IF(E8="Direct",_xlfn.XLOOKUP(D8,'Input import'!B:B,'Input import'!E:E,_xlfn.XLOOKUP(D8,'Input sheet format'!F:F,'Input sheet format'!I:I,"")),_xlfn.XLOOKUP(D8,'Facilitatory data'!E:E,'Facilitatory data'!H:H,""))</f>
        <v>kWh</v>
      </c>
      <c r="H8" s="653">
        <v>1</v>
      </c>
      <c r="I8" s="653" t="s">
        <v>79</v>
      </c>
      <c r="J8" s="811">
        <v>1</v>
      </c>
      <c r="K8" s="653" t="s">
        <v>79</v>
      </c>
      <c r="L8" s="1098" t="s">
        <v>1150</v>
      </c>
      <c r="M8" s="1098" t="s">
        <v>1660</v>
      </c>
      <c r="N8" s="1034" t="s">
        <v>1663</v>
      </c>
      <c r="Q8" s="703">
        <f>'Emission factors - list'!D8</f>
        <v>0</v>
      </c>
      <c r="R8" s="653" t="str">
        <f>'Emission factors - list'!E8</f>
        <v>kg CO2 / kWh</v>
      </c>
      <c r="S8" s="961" t="b">
        <f t="shared" si="0"/>
        <v>1</v>
      </c>
      <c r="T8" s="816">
        <f t="shared" si="1"/>
        <v>0</v>
      </c>
      <c r="U8" s="816">
        <f>Table1[[#This Row],[Results 
(kg CO2-eq)]]/1000</f>
        <v>0</v>
      </c>
      <c r="V8" s="816">
        <f>IF(Table1[[#This Row],[Results incl. comp. (ton CO2-eq2]]&lt;0,Table1[[#This Row],[Results incl. comp. (ton CO2-eq2]],0)</f>
        <v>0</v>
      </c>
      <c r="W8" s="816">
        <f t="shared" si="2"/>
        <v>0</v>
      </c>
      <c r="X8" s="816">
        <f>Table1[[#This Row],[Results
(ton CO2-eq)]]</f>
        <v>0</v>
      </c>
    </row>
    <row r="9" spans="1:26">
      <c r="B9" s="818" t="s">
        <v>1149</v>
      </c>
      <c r="C9" s="818" t="s">
        <v>1150</v>
      </c>
      <c r="D9" s="818" t="s">
        <v>87</v>
      </c>
      <c r="E9" s="653" t="s">
        <v>1151</v>
      </c>
      <c r="F9" s="814">
        <f>IF(E9="Direct",_xlfn.XLOOKUP(D9,'Input import'!B:B,'Input import'!D:D,""),_xlfn.XLOOKUP(D9,'Facilitatory data'!E:E,'Facilitatory data'!G:G,""))</f>
        <v>0</v>
      </c>
      <c r="G9" s="653" t="str">
        <f>IF(E9="Direct",_xlfn.XLOOKUP(D9,'Input import'!B:B,'Input import'!E:E,_xlfn.XLOOKUP(D9,'Input sheet format'!F:F,'Input sheet format'!I:I,"")),_xlfn.XLOOKUP(D9,'Facilitatory data'!E:E,'Facilitatory data'!H:H,""))</f>
        <v>kWh</v>
      </c>
      <c r="H9" s="653">
        <v>1</v>
      </c>
      <c r="I9" s="653" t="s">
        <v>79</v>
      </c>
      <c r="J9" s="811">
        <v>1</v>
      </c>
      <c r="K9" s="653" t="s">
        <v>79</v>
      </c>
      <c r="L9" s="1098" t="s">
        <v>1150</v>
      </c>
      <c r="M9" s="1098" t="s">
        <v>1660</v>
      </c>
      <c r="N9" s="1034" t="s">
        <v>1665</v>
      </c>
      <c r="Q9" s="703">
        <f>'Emission factors - list'!D7</f>
        <v>0.38521996819553</v>
      </c>
      <c r="R9" s="653" t="str">
        <f>'Emission factors - list'!E7</f>
        <v>kg CO2 / kWh</v>
      </c>
      <c r="S9" s="961" t="b">
        <f t="shared" si="0"/>
        <v>1</v>
      </c>
      <c r="T9" s="816">
        <f t="shared" si="1"/>
        <v>0</v>
      </c>
      <c r="U9" s="816">
        <f>Table1[[#This Row],[Results 
(kg CO2-eq)]]/1000</f>
        <v>0</v>
      </c>
      <c r="V9" s="816">
        <f>IF(Table1[[#This Row],[Results incl. comp. (ton CO2-eq2]]&lt;0,Table1[[#This Row],[Results incl. comp. (ton CO2-eq2]],0)</f>
        <v>0</v>
      </c>
      <c r="W9" s="816">
        <f t="shared" si="2"/>
        <v>0</v>
      </c>
      <c r="X9" s="816">
        <f>Table1[[#This Row],[Results
(ton CO2-eq)]]</f>
        <v>0</v>
      </c>
    </row>
    <row r="10" spans="1:26">
      <c r="B10" s="818" t="s">
        <v>1149</v>
      </c>
      <c r="C10" s="818" t="s">
        <v>1152</v>
      </c>
      <c r="D10" s="818" t="s">
        <v>90</v>
      </c>
      <c r="E10" s="653" t="s">
        <v>1151</v>
      </c>
      <c r="F10" s="814">
        <f>IF(E10="Direct",_xlfn.XLOOKUP(D10,'Input import'!B:B,'Input import'!D:D,""),_xlfn.XLOOKUP(D10,'Facilitatory data'!E:E,'Facilitatory data'!G:G,""))</f>
        <v>0</v>
      </c>
      <c r="G10" s="653" t="str">
        <f>IF(E10="Direct",_xlfn.XLOOKUP(D10,'Input import'!B:B,'Input import'!E:E,_xlfn.XLOOKUP(D10,'Input sheet format'!F:F,'Input sheet format'!I:I,"")),_xlfn.XLOOKUP(D10,'Facilitatory data'!E:E,'Facilitatory data'!H:H,""))</f>
        <v>litres</v>
      </c>
      <c r="H10" s="653">
        <v>1</v>
      </c>
      <c r="I10" s="653" t="s">
        <v>91</v>
      </c>
      <c r="J10" s="653">
        <v>1</v>
      </c>
      <c r="K10" s="962" t="s">
        <v>1153</v>
      </c>
      <c r="L10" s="1098" t="s">
        <v>1667</v>
      </c>
      <c r="M10" s="1098" t="s">
        <v>1661</v>
      </c>
      <c r="N10" s="1098" t="s">
        <v>1713</v>
      </c>
      <c r="O10" s="851"/>
      <c r="P10" s="851"/>
      <c r="Q10" s="703">
        <f>'Emission factors - list'!D9</f>
        <v>3.2509999999999999</v>
      </c>
      <c r="R10" s="653" t="str">
        <f>'Emission factors - list'!E9</f>
        <v>kg CO2-eq / L</v>
      </c>
      <c r="S10" s="961" t="b">
        <f t="shared" si="0"/>
        <v>1</v>
      </c>
      <c r="T10" s="816">
        <f t="shared" si="1"/>
        <v>0</v>
      </c>
      <c r="U10" s="816">
        <f>Table1[[#This Row],[Results 
(kg CO2-eq)]]/1000</f>
        <v>0</v>
      </c>
      <c r="V10" s="816">
        <f>IF(Table1[[#This Row],[Results incl. comp. (ton CO2-eq2]]&lt;0,Table1[[#This Row],[Results incl. comp. (ton CO2-eq2]],0)</f>
        <v>0</v>
      </c>
      <c r="W10" s="816">
        <f t="shared" si="2"/>
        <v>0</v>
      </c>
      <c r="X10" s="816">
        <f>Table1[[#This Row],[Results
(ton CO2-eq)]]</f>
        <v>0</v>
      </c>
    </row>
    <row r="11" spans="1:26">
      <c r="B11" s="818" t="s">
        <v>1149</v>
      </c>
      <c r="C11" s="818" t="s">
        <v>1152</v>
      </c>
      <c r="D11" s="818" t="s">
        <v>93</v>
      </c>
      <c r="E11" s="653" t="s">
        <v>1151</v>
      </c>
      <c r="F11" s="814">
        <f>IF(E11="Direct",_xlfn.XLOOKUP(D11,'Input import'!B:B,'Input import'!D:D,""),_xlfn.XLOOKUP(D11,'Facilitatory data'!E:E,'Facilitatory data'!G:G,""))</f>
        <v>0</v>
      </c>
      <c r="G11" s="653" t="str">
        <f>IF(E11="Direct",_xlfn.XLOOKUP(D11,'Input import'!B:B,'Input import'!E:E,_xlfn.XLOOKUP(D11,'Input sheet format'!F:F,'Input sheet format'!I:I,"")),_xlfn.XLOOKUP(D11,'Facilitatory data'!E:E,'Facilitatory data'!H:H,""))</f>
        <v>litres</v>
      </c>
      <c r="H11" s="653">
        <v>1</v>
      </c>
      <c r="I11" s="653" t="s">
        <v>91</v>
      </c>
      <c r="J11" s="653">
        <v>1</v>
      </c>
      <c r="K11" s="962" t="s">
        <v>1153</v>
      </c>
      <c r="L11" s="1098" t="s">
        <v>1668</v>
      </c>
      <c r="M11" s="1098" t="s">
        <v>1661</v>
      </c>
      <c r="N11" s="1098" t="s">
        <v>1664</v>
      </c>
      <c r="O11" s="851"/>
      <c r="P11" s="851"/>
      <c r="Q11" s="703">
        <f>'Emission factors - list'!D11</f>
        <v>0.441</v>
      </c>
      <c r="R11" s="653" t="str">
        <f>'Emission factors - list'!E11</f>
        <v>kg CO2-eq / L</v>
      </c>
      <c r="S11" s="961" t="b">
        <f t="shared" si="0"/>
        <v>1</v>
      </c>
      <c r="T11" s="816">
        <f t="shared" si="1"/>
        <v>0</v>
      </c>
      <c r="U11" s="816">
        <f>Table1[[#This Row],[Results 
(kg CO2-eq)]]/1000</f>
        <v>0</v>
      </c>
      <c r="V11" s="816">
        <f>IF(Table1[[#This Row],[Results incl. comp. (ton CO2-eq2]]&lt;0,Table1[[#This Row],[Results incl. comp. (ton CO2-eq2]],0)</f>
        <v>0</v>
      </c>
      <c r="W11" s="816">
        <f t="shared" si="2"/>
        <v>0</v>
      </c>
      <c r="X11" s="816">
        <f>Table1[[#This Row],[Results
(ton CO2-eq)]]</f>
        <v>0</v>
      </c>
    </row>
    <row r="12" spans="1:26">
      <c r="A12" s="156"/>
      <c r="B12" s="818" t="s">
        <v>1149</v>
      </c>
      <c r="C12" s="818" t="s">
        <v>1152</v>
      </c>
      <c r="D12" s="818" t="s">
        <v>95</v>
      </c>
      <c r="E12" s="653" t="s">
        <v>1151</v>
      </c>
      <c r="F12" s="814">
        <f>IF(E12="Direct",_xlfn.XLOOKUP(D12,'Input import'!B:B,'Input import'!D:D,""),_xlfn.XLOOKUP(D12,'Facilitatory data'!E:E,'Facilitatory data'!G:G,""))</f>
        <v>0</v>
      </c>
      <c r="G12" s="653" t="str">
        <f>IF(E12="Direct",_xlfn.XLOOKUP(D12,'Input import'!B:B,'Input import'!E:E,_xlfn.XLOOKUP(D12,'Input sheet format'!F:F,'Input sheet format'!I:I,"")),_xlfn.XLOOKUP(D12,'Facilitatory data'!E:E,'Facilitatory data'!H:H,""))</f>
        <v>kg</v>
      </c>
      <c r="H12" s="653">
        <v>1</v>
      </c>
      <c r="I12" s="962" t="s">
        <v>96</v>
      </c>
      <c r="J12" s="811">
        <v>1</v>
      </c>
      <c r="K12" s="962" t="s">
        <v>96</v>
      </c>
      <c r="L12" s="1098" t="s">
        <v>1801</v>
      </c>
      <c r="M12" s="1098" t="s">
        <v>1661</v>
      </c>
      <c r="N12" s="1098" t="s">
        <v>1664</v>
      </c>
      <c r="O12" s="851"/>
      <c r="P12" s="851"/>
      <c r="Q12" s="703">
        <f>'Emission factors - list'!D16</f>
        <v>1.08</v>
      </c>
      <c r="R12" s="703" t="str">
        <f>'Emission factors - list'!E16</f>
        <v>kg CO2-eq / kg</v>
      </c>
      <c r="S12" s="961" t="b">
        <f t="shared" si="0"/>
        <v>1</v>
      </c>
      <c r="T12" s="816">
        <f t="shared" si="1"/>
        <v>0</v>
      </c>
      <c r="U12" s="816">
        <f>Table1[[#This Row],[Results 
(kg CO2-eq)]]/1000</f>
        <v>0</v>
      </c>
      <c r="V12" s="816">
        <f>IF(Table1[[#This Row],[Results incl. comp. (ton CO2-eq2]]&lt;0,Table1[[#This Row],[Results incl. comp. (ton CO2-eq2]],0)</f>
        <v>0</v>
      </c>
      <c r="W12" s="816">
        <f t="shared" si="2"/>
        <v>0</v>
      </c>
      <c r="X12" s="816">
        <f>Table1[[#This Row],[Results
(ton CO2-eq)]]</f>
        <v>0</v>
      </c>
    </row>
    <row r="13" spans="1:26">
      <c r="B13" s="818" t="s">
        <v>1149</v>
      </c>
      <c r="C13" s="818" t="s">
        <v>1152</v>
      </c>
      <c r="D13" s="818" t="s">
        <v>98</v>
      </c>
      <c r="E13" s="653" t="s">
        <v>1151</v>
      </c>
      <c r="F13" s="814">
        <f>IF(E13="Direct",_xlfn.XLOOKUP(D13,'Input import'!B:B,'Input import'!D:D,""),_xlfn.XLOOKUP(D13,'Facilitatory data'!E:E,'Facilitatory data'!G:G,""))</f>
        <v>0</v>
      </c>
      <c r="G13" s="653" t="str">
        <f>IF(E13="Direct",_xlfn.XLOOKUP(D13,'Input import'!B:B,'Input import'!E:E,_xlfn.XLOOKUP(D13,'Input sheet format'!F:F,'Input sheet format'!I:I,"")),_xlfn.XLOOKUP(D13,'Facilitatory data'!E:E,'Facilitatory data'!H:H,""))</f>
        <v>kg</v>
      </c>
      <c r="H13" s="653">
        <v>1</v>
      </c>
      <c r="I13" s="962" t="s">
        <v>96</v>
      </c>
      <c r="J13" s="811">
        <v>1</v>
      </c>
      <c r="K13" s="962" t="s">
        <v>96</v>
      </c>
      <c r="L13" s="1098" t="s">
        <v>1801</v>
      </c>
      <c r="M13" s="1098" t="s">
        <v>1661</v>
      </c>
      <c r="N13" s="1098" t="s">
        <v>1713</v>
      </c>
      <c r="O13" s="851"/>
      <c r="P13" s="851"/>
      <c r="Q13" s="703">
        <f>'Emission factors - list'!D15</f>
        <v>12.516</v>
      </c>
      <c r="R13" s="703" t="str">
        <f>'Emission factors - list'!E15</f>
        <v>kg CO2-eq / kg</v>
      </c>
      <c r="S13" s="961" t="b">
        <f t="shared" si="0"/>
        <v>1</v>
      </c>
      <c r="T13" s="816">
        <f t="shared" si="1"/>
        <v>0</v>
      </c>
      <c r="U13" s="816">
        <f>Table1[[#This Row],[Results 
(kg CO2-eq)]]/1000</f>
        <v>0</v>
      </c>
      <c r="V13" s="816">
        <f>IF(Table1[[#This Row],[Results incl. comp. (ton CO2-eq2]]&lt;0,Table1[[#This Row],[Results incl. comp. (ton CO2-eq2]],0)</f>
        <v>0</v>
      </c>
      <c r="W13" s="816">
        <f t="shared" si="2"/>
        <v>0</v>
      </c>
      <c r="X13" s="816">
        <f>Table1[[#This Row],[Results
(ton CO2-eq)]]</f>
        <v>0</v>
      </c>
    </row>
    <row r="14" spans="1:26">
      <c r="B14" s="818" t="s">
        <v>1149</v>
      </c>
      <c r="C14" s="818" t="s">
        <v>1152</v>
      </c>
      <c r="D14" s="818" t="s">
        <v>100</v>
      </c>
      <c r="E14" s="653" t="s">
        <v>1151</v>
      </c>
      <c r="F14" s="814">
        <f>IF(E14="Direct",_xlfn.XLOOKUP(D14,'Input import'!B:B,'Input import'!D:D,""),_xlfn.XLOOKUP(D14,'Facilitatory data'!E:E,'Facilitatory data'!G:G,""))</f>
        <v>0</v>
      </c>
      <c r="G14" s="653" t="str">
        <f>IF(E14="Direct",_xlfn.XLOOKUP(D14,'Input import'!B:B,'Input import'!E:E,_xlfn.XLOOKUP(D14,'Input sheet format'!F:F,'Input sheet format'!I:I,"")),_xlfn.XLOOKUP(D14,'Facilitatory data'!E:E,'Facilitatory data'!H:H,""))</f>
        <v>Nm3</v>
      </c>
      <c r="H14" s="653">
        <v>1</v>
      </c>
      <c r="I14" s="653" t="s">
        <v>101</v>
      </c>
      <c r="J14" s="811">
        <v>1</v>
      </c>
      <c r="K14" s="962" t="s">
        <v>1154</v>
      </c>
      <c r="L14" s="1098" t="s">
        <v>1666</v>
      </c>
      <c r="M14" s="1098" t="s">
        <v>1659</v>
      </c>
      <c r="N14" s="1098" t="s">
        <v>1713</v>
      </c>
      <c r="O14" s="851"/>
      <c r="P14" s="851"/>
      <c r="Q14" s="703">
        <f>'Emission factors - list'!D12</f>
        <v>2.1339999999999999</v>
      </c>
      <c r="R14" s="653" t="str">
        <f>'Emission factors - list'!E12</f>
        <v>kg CO2-eq / m3</v>
      </c>
      <c r="S14" s="961" t="b">
        <f t="shared" si="0"/>
        <v>1</v>
      </c>
      <c r="T14" s="816">
        <f t="shared" si="1"/>
        <v>0</v>
      </c>
      <c r="U14" s="816">
        <f>Table1[[#This Row],[Results 
(kg CO2-eq)]]/1000</f>
        <v>0</v>
      </c>
      <c r="V14" s="816">
        <f>IF(Table1[[#This Row],[Results incl. comp. (ton CO2-eq2]]&lt;0,Table1[[#This Row],[Results incl. comp. (ton CO2-eq2]],0)</f>
        <v>0</v>
      </c>
      <c r="W14" s="816">
        <f t="shared" si="2"/>
        <v>0</v>
      </c>
      <c r="X14" s="816">
        <f>Table1[[#This Row],[Results
(ton CO2-eq)]]</f>
        <v>0</v>
      </c>
    </row>
    <row r="15" spans="1:26">
      <c r="B15" s="818" t="s">
        <v>1149</v>
      </c>
      <c r="C15" s="818" t="s">
        <v>1152</v>
      </c>
      <c r="D15" s="818" t="s">
        <v>103</v>
      </c>
      <c r="E15" s="653" t="s">
        <v>1151</v>
      </c>
      <c r="F15" s="814">
        <f>IF(E15="Direct",_xlfn.XLOOKUP(D15,'Input import'!B:B,'Input import'!D:D,""),_xlfn.XLOOKUP(D15,'Facilitatory data'!E:E,'Facilitatory data'!G:G,""))</f>
        <v>0</v>
      </c>
      <c r="G15" s="653" t="str">
        <f>IF(E15="Direct",_xlfn.XLOOKUP(D15,'Input import'!B:B,'Input import'!E:E,_xlfn.XLOOKUP(D15,'Input sheet format'!F:F,'Input sheet format'!I:I,"")),_xlfn.XLOOKUP(D15,'Facilitatory data'!E:E,'Facilitatory data'!H:H,""))</f>
        <v>kg</v>
      </c>
      <c r="H15" s="814">
        <v>1</v>
      </c>
      <c r="I15" s="653" t="s">
        <v>96</v>
      </c>
      <c r="J15" s="811">
        <v>1</v>
      </c>
      <c r="K15" s="962" t="s">
        <v>96</v>
      </c>
      <c r="L15" s="1098" t="s">
        <v>1666</v>
      </c>
      <c r="M15" s="1098" t="s">
        <v>1662</v>
      </c>
      <c r="N15" s="1098" t="s">
        <v>1713</v>
      </c>
      <c r="O15" s="851"/>
      <c r="P15" s="851"/>
      <c r="Q15" s="703">
        <f>'Emission factors - list'!D13</f>
        <v>2.831</v>
      </c>
      <c r="R15" s="653" t="str">
        <f>'Emission factors - list'!E13</f>
        <v>kg CO2-eq / kg</v>
      </c>
      <c r="S15" s="961" t="b">
        <f t="shared" si="0"/>
        <v>1</v>
      </c>
      <c r="T15" s="816">
        <f t="shared" si="1"/>
        <v>0</v>
      </c>
      <c r="U15" s="816">
        <f>Table1[[#This Row],[Results 
(kg CO2-eq)]]/1000</f>
        <v>0</v>
      </c>
      <c r="V15" s="816">
        <f>IF(Table1[[#This Row],[Results incl. comp. (ton CO2-eq2]]&lt;0,Table1[[#This Row],[Results incl. comp. (ton CO2-eq2]],0)</f>
        <v>0</v>
      </c>
      <c r="W15" s="816">
        <f t="shared" si="2"/>
        <v>0</v>
      </c>
      <c r="X15" s="816">
        <f>Table1[[#This Row],[Results
(ton CO2-eq)]]</f>
        <v>0</v>
      </c>
    </row>
    <row r="16" spans="1:26" s="820" customFormat="1">
      <c r="A16" s="154"/>
      <c r="B16" s="818" t="s">
        <v>1149</v>
      </c>
      <c r="C16" s="818" t="s">
        <v>1152</v>
      </c>
      <c r="D16" s="818" t="s">
        <v>105</v>
      </c>
      <c r="E16" s="653" t="s">
        <v>1151</v>
      </c>
      <c r="F16" s="814">
        <f>IF(E16="Direct",_xlfn.XLOOKUP(D16,'Input import'!B:B,'Input import'!D:D,""),_xlfn.XLOOKUP(D16,'Facilitatory data'!E:E,'Facilitatory data'!G:G,""))</f>
        <v>0</v>
      </c>
      <c r="G16" s="653" t="str">
        <f>IF(E16="Direct",_xlfn.XLOOKUP(D16,'Input import'!B:B,'Input import'!E:E,_xlfn.XLOOKUP(D16,'Input sheet format'!F:F,'Input sheet format'!I:I,"")),_xlfn.XLOOKUP(D16,'Facilitatory data'!E:E,'Facilitatory data'!H:H,""))</f>
        <v>kg</v>
      </c>
      <c r="H16" s="814">
        <v>1</v>
      </c>
      <c r="I16" s="653" t="s">
        <v>96</v>
      </c>
      <c r="J16" s="811">
        <v>1</v>
      </c>
      <c r="K16" s="962" t="s">
        <v>96</v>
      </c>
      <c r="L16" s="1098" t="s">
        <v>366</v>
      </c>
      <c r="M16" s="1098" t="s">
        <v>1669</v>
      </c>
      <c r="N16" s="1098" t="s">
        <v>1713</v>
      </c>
      <c r="O16" s="851"/>
      <c r="P16" s="851"/>
      <c r="Q16" s="703">
        <f>'Emission factors - list'!D14</f>
        <v>0.79400000000000004</v>
      </c>
      <c r="R16" s="653" t="str">
        <f>'Emission factors - list'!E14</f>
        <v>kg CO2-eq / kg</v>
      </c>
      <c r="S16" s="961" t="b">
        <f t="shared" si="0"/>
        <v>1</v>
      </c>
      <c r="T16" s="816">
        <f t="shared" si="1"/>
        <v>0</v>
      </c>
      <c r="U16" s="816">
        <f>Table1[[#This Row],[Results 
(kg CO2-eq)]]/1000</f>
        <v>0</v>
      </c>
      <c r="V16" s="816">
        <f>IF(Table1[[#This Row],[Results incl. comp. (ton CO2-eq2]]&lt;0,Table1[[#This Row],[Results incl. comp. (ton CO2-eq2]],0)</f>
        <v>0</v>
      </c>
      <c r="W16" s="816">
        <f t="shared" si="2"/>
        <v>0</v>
      </c>
      <c r="X16" s="816">
        <f>Table1[[#This Row],[Results
(ton CO2-eq)]]</f>
        <v>0</v>
      </c>
      <c r="Y16" s="653"/>
    </row>
    <row r="17" spans="2:24">
      <c r="B17" s="1048" t="s">
        <v>1632</v>
      </c>
      <c r="C17" s="1048" t="s">
        <v>1155</v>
      </c>
      <c r="D17" s="1048" t="s">
        <v>113</v>
      </c>
      <c r="E17" s="653" t="s">
        <v>1151</v>
      </c>
      <c r="F17" s="814">
        <f>IF(E17="Direct",_xlfn.XLOOKUP(D17,'Input import'!B:B,'Input import'!D:D,""),_xlfn.XLOOKUP(D17,'Facilitatory data'!E:E,'Facilitatory data'!G:G,""))</f>
        <v>0</v>
      </c>
      <c r="G17" s="653" t="str">
        <f>IF(E17="Direct",_xlfn.XLOOKUP(D17,'Input import'!B:B,'Input import'!E:E,_xlfn.XLOOKUP(D17,'Input sheet format'!F:F,'Input sheet format'!I:I,"")),_xlfn.XLOOKUP(D17,'Facilitatory data'!E:E,'Facilitatory data'!H:H,""))</f>
        <v>kg</v>
      </c>
      <c r="H17" s="653">
        <v>1</v>
      </c>
      <c r="I17" s="963" t="s">
        <v>96</v>
      </c>
      <c r="J17" s="849">
        <f>1/1000</f>
        <v>1E-3</v>
      </c>
      <c r="K17" s="962" t="s">
        <v>1156</v>
      </c>
      <c r="L17" s="962" t="str">
        <f>_xlfn.TEXTBEFORE(Table1[[#This Row],[Fill-out indicator]]," ")</f>
        <v>Aluminum</v>
      </c>
      <c r="M17" s="962" t="str">
        <f>PROPER(_xlfn.TEXTAFTER(Table1[[#This Row],[Fill-out indicator]],"- "))</f>
        <v>Virgin</v>
      </c>
      <c r="N17" s="1095" t="s">
        <v>1710</v>
      </c>
      <c r="O17" s="1036">
        <f>ROUND(Table1[[#This Row],[Entry_AD_0]],1)</f>
        <v>0</v>
      </c>
      <c r="P17" s="1036"/>
      <c r="Q17" s="703">
        <f>'Emission factors - list'!D25</f>
        <v>8078.4887931034482</v>
      </c>
      <c r="R17" s="653" t="str">
        <f>'Emission factors - list'!E25</f>
        <v>kg CO2-eq / tonne</v>
      </c>
      <c r="S17" s="961" t="b">
        <f t="shared" si="0"/>
        <v>1</v>
      </c>
      <c r="T17" s="816">
        <f t="shared" si="1"/>
        <v>0</v>
      </c>
      <c r="U17" s="816">
        <f>Table1[[#This Row],[Results 
(kg CO2-eq)]]/1000</f>
        <v>0</v>
      </c>
      <c r="V17" s="816">
        <f>IF(Table1[[#This Row],[Results incl. comp. (ton CO2-eq2]]&lt;0,Table1[[#This Row],[Results incl. comp. (ton CO2-eq2]],0)</f>
        <v>0</v>
      </c>
      <c r="W17" s="816">
        <f t="shared" si="2"/>
        <v>0</v>
      </c>
      <c r="X17" s="816">
        <f>Table1[[#This Row],[Results
(ton CO2-eq)]]</f>
        <v>0</v>
      </c>
    </row>
    <row r="18" spans="2:24">
      <c r="B18" s="1048" t="s">
        <v>1632</v>
      </c>
      <c r="C18" s="1048" t="s">
        <v>1155</v>
      </c>
      <c r="D18" s="1048" t="s">
        <v>115</v>
      </c>
      <c r="E18" s="653" t="s">
        <v>1151</v>
      </c>
      <c r="F18" s="814">
        <f>IF(E18="Direct",_xlfn.XLOOKUP(D18,'Input import'!B:B,'Input import'!D:D,""),_xlfn.XLOOKUP(D18,'Facilitatory data'!E:E,'Facilitatory data'!G:G,""))</f>
        <v>0</v>
      </c>
      <c r="G18" s="653" t="str">
        <f>IF(E18="Direct",_xlfn.XLOOKUP(D18,'Input import'!B:B,'Input import'!E:E,_xlfn.XLOOKUP(D18,'Input sheet format'!F:F,'Input sheet format'!I:I,"")),_xlfn.XLOOKUP(D18,'Facilitatory data'!E:E,'Facilitatory data'!H:H,""))</f>
        <v>kg</v>
      </c>
      <c r="H18" s="653">
        <v>1</v>
      </c>
      <c r="I18" s="963" t="s">
        <v>96</v>
      </c>
      <c r="J18" s="849">
        <f t="shared" ref="J18:J34" si="3">1/1000</f>
        <v>1E-3</v>
      </c>
      <c r="K18" s="962" t="s">
        <v>1156</v>
      </c>
      <c r="L18" s="962" t="str">
        <f>_xlfn.TEXTBEFORE(Table1[[#This Row],[Fill-out indicator]]," ")</f>
        <v>Aluminum</v>
      </c>
      <c r="M18" s="962" t="str">
        <f>PROPER(_xlfn.TEXTAFTER(Table1[[#This Row],[Fill-out indicator]],"- "))</f>
        <v>Recycled / Second Hand</v>
      </c>
      <c r="N18" s="1095" t="s">
        <v>1711</v>
      </c>
      <c r="O18" s="1036">
        <f>ROUND(Table1[[#This Row],[Entry_AD_0]],1)</f>
        <v>0</v>
      </c>
      <c r="P18" s="1036"/>
      <c r="Q18" s="703">
        <f>'Emission factors - list'!D26</f>
        <v>2858.4410344827579</v>
      </c>
      <c r="R18" s="653" t="str">
        <f>'Emission factors - list'!E26</f>
        <v>kg CO2-eq / tonne</v>
      </c>
      <c r="S18" s="961" t="b">
        <f t="shared" si="0"/>
        <v>1</v>
      </c>
      <c r="T18" s="816">
        <f t="shared" si="1"/>
        <v>0</v>
      </c>
      <c r="U18" s="816">
        <f>Table1[[#This Row],[Results 
(kg CO2-eq)]]/1000</f>
        <v>0</v>
      </c>
      <c r="V18" s="816">
        <f>IF(Table1[[#This Row],[Results incl. comp. (ton CO2-eq2]]&lt;0,Table1[[#This Row],[Results incl. comp. (ton CO2-eq2]],0)</f>
        <v>0</v>
      </c>
      <c r="W18" s="816">
        <f t="shared" si="2"/>
        <v>0</v>
      </c>
      <c r="X18" s="816">
        <f>Table1[[#This Row],[Results
(ton CO2-eq)]]</f>
        <v>0</v>
      </c>
    </row>
    <row r="19" spans="2:24">
      <c r="B19" s="1048" t="s">
        <v>1632</v>
      </c>
      <c r="C19" s="1048" t="s">
        <v>1155</v>
      </c>
      <c r="D19" s="1048" t="s">
        <v>117</v>
      </c>
      <c r="E19" s="653" t="s">
        <v>1151</v>
      </c>
      <c r="F19" s="814">
        <f>IF(E19="Direct",_xlfn.XLOOKUP(D19,'Input import'!B:B,'Input import'!D:D,""),_xlfn.XLOOKUP(D19,'Facilitatory data'!E:E,'Facilitatory data'!G:G,""))</f>
        <v>0</v>
      </c>
      <c r="G19" s="653" t="str">
        <f>IF(E19="Direct",_xlfn.XLOOKUP(D19,'Input import'!B:B,'Input import'!E:E,_xlfn.XLOOKUP(D19,'Input sheet format'!F:F,'Input sheet format'!I:I,"")),_xlfn.XLOOKUP(D19,'Facilitatory data'!E:E,'Facilitatory data'!H:H,""))</f>
        <v>kg</v>
      </c>
      <c r="H19" s="653">
        <v>1</v>
      </c>
      <c r="I19" s="963" t="s">
        <v>96</v>
      </c>
      <c r="J19" s="849">
        <f t="shared" si="3"/>
        <v>1E-3</v>
      </c>
      <c r="K19" s="962" t="s">
        <v>1156</v>
      </c>
      <c r="L19" s="962" t="str">
        <f>_xlfn.TEXTBEFORE(Table1[[#This Row],[Fill-out indicator]]," ")</f>
        <v>Steel</v>
      </c>
      <c r="M19" s="962" t="str">
        <f>PROPER(_xlfn.TEXTAFTER(Table1[[#This Row],[Fill-out indicator]],"- "))</f>
        <v>Virgin</v>
      </c>
      <c r="N19" s="1095" t="s">
        <v>1710</v>
      </c>
      <c r="O19" s="1036">
        <f>ROUND(Table1[[#This Row],[Entry_AD_0]],1)</f>
        <v>0</v>
      </c>
      <c r="P19" s="1036"/>
      <c r="Q19" s="703">
        <f>'Emission factors - list'!D23</f>
        <v>1935.2</v>
      </c>
      <c r="R19" s="653" t="str">
        <f>'Emission factors - list'!E23</f>
        <v>kg CO2-eq / tonne</v>
      </c>
      <c r="S19" s="961" t="b">
        <f t="shared" si="0"/>
        <v>1</v>
      </c>
      <c r="T19" s="816">
        <f t="shared" si="1"/>
        <v>0</v>
      </c>
      <c r="U19" s="816">
        <f>Table1[[#This Row],[Results 
(kg CO2-eq)]]/1000</f>
        <v>0</v>
      </c>
      <c r="V19" s="816">
        <f>IF(Table1[[#This Row],[Results incl. comp. (ton CO2-eq2]]&lt;0,Table1[[#This Row],[Results incl. comp. (ton CO2-eq2]],0)</f>
        <v>0</v>
      </c>
      <c r="W19" s="816">
        <f t="shared" si="2"/>
        <v>0</v>
      </c>
      <c r="X19" s="816">
        <f>Table1[[#This Row],[Results
(ton CO2-eq)]]</f>
        <v>0</v>
      </c>
    </row>
    <row r="20" spans="2:24">
      <c r="B20" s="1048" t="s">
        <v>1632</v>
      </c>
      <c r="C20" s="1048" t="s">
        <v>1155</v>
      </c>
      <c r="D20" s="1048" t="s">
        <v>119</v>
      </c>
      <c r="E20" s="653" t="s">
        <v>1151</v>
      </c>
      <c r="F20" s="814">
        <f>IF(E20="Direct",_xlfn.XLOOKUP(D20,'Input import'!B:B,'Input import'!D:D,""),_xlfn.XLOOKUP(D20,'Facilitatory data'!E:E,'Facilitatory data'!G:G,""))</f>
        <v>0</v>
      </c>
      <c r="G20" s="653" t="str">
        <f>IF(E20="Direct",_xlfn.XLOOKUP(D20,'Input import'!B:B,'Input import'!E:E,_xlfn.XLOOKUP(D20,'Input sheet format'!F:F,'Input sheet format'!I:I,"")),_xlfn.XLOOKUP(D20,'Facilitatory data'!E:E,'Facilitatory data'!H:H,""))</f>
        <v>kg</v>
      </c>
      <c r="H20" s="653">
        <v>1</v>
      </c>
      <c r="I20" s="963" t="s">
        <v>96</v>
      </c>
      <c r="J20" s="849">
        <f t="shared" si="3"/>
        <v>1E-3</v>
      </c>
      <c r="K20" s="962" t="s">
        <v>1156</v>
      </c>
      <c r="L20" s="962" t="str">
        <f>_xlfn.TEXTBEFORE(Table1[[#This Row],[Fill-out indicator]]," ")</f>
        <v>Steel</v>
      </c>
      <c r="M20" s="962" t="str">
        <f>PROPER(_xlfn.TEXTAFTER(Table1[[#This Row],[Fill-out indicator]],"- "))</f>
        <v>Recycled / Second Hand</v>
      </c>
      <c r="N20" s="1095" t="s">
        <v>1711</v>
      </c>
      <c r="O20" s="1036">
        <f>ROUND(Table1[[#This Row],[Entry_AD_0]],1)</f>
        <v>0</v>
      </c>
      <c r="P20" s="1036"/>
      <c r="Q20" s="703">
        <f>'Emission factors - list'!D24</f>
        <v>628.94000000000005</v>
      </c>
      <c r="R20" s="653" t="str">
        <f>'Emission factors - list'!E24</f>
        <v>kg CO2-eq / tonne</v>
      </c>
      <c r="S20" s="961" t="b">
        <f t="shared" si="0"/>
        <v>1</v>
      </c>
      <c r="T20" s="816">
        <f t="shared" si="1"/>
        <v>0</v>
      </c>
      <c r="U20" s="816">
        <f>Table1[[#This Row],[Results 
(kg CO2-eq)]]/1000</f>
        <v>0</v>
      </c>
      <c r="V20" s="816">
        <f>IF(Table1[[#This Row],[Results incl. comp. (ton CO2-eq2]]&lt;0,Table1[[#This Row],[Results incl. comp. (ton CO2-eq2]],0)</f>
        <v>0</v>
      </c>
      <c r="W20" s="816">
        <f t="shared" si="2"/>
        <v>0</v>
      </c>
      <c r="X20" s="816">
        <f>Table1[[#This Row],[Results
(ton CO2-eq)]]</f>
        <v>0</v>
      </c>
    </row>
    <row r="21" spans="2:24">
      <c r="B21" s="1048" t="s">
        <v>1632</v>
      </c>
      <c r="C21" s="1048" t="s">
        <v>1155</v>
      </c>
      <c r="D21" s="1048" t="s">
        <v>121</v>
      </c>
      <c r="E21" s="653" t="s">
        <v>1151</v>
      </c>
      <c r="F21" s="814">
        <f>IF(E21="Direct",_xlfn.XLOOKUP(D21,'Input import'!B:B,'Input import'!D:D,""),_xlfn.XLOOKUP(D21,'Facilitatory data'!E:E,'Facilitatory data'!G:G,""))</f>
        <v>0</v>
      </c>
      <c r="G21" s="653" t="str">
        <f>IF(E21="Direct",_xlfn.XLOOKUP(D21,'Input import'!B:B,'Input import'!E:E,_xlfn.XLOOKUP(D21,'Input sheet format'!F:F,'Input sheet format'!I:I,"")),_xlfn.XLOOKUP(D21,'Facilitatory data'!E:E,'Facilitatory data'!H:H,""))</f>
        <v>kg</v>
      </c>
      <c r="H21" s="653">
        <v>1</v>
      </c>
      <c r="I21" s="963" t="s">
        <v>96</v>
      </c>
      <c r="J21" s="849">
        <f t="shared" si="3"/>
        <v>1E-3</v>
      </c>
      <c r="K21" s="962" t="s">
        <v>1156</v>
      </c>
      <c r="L21" s="1034" t="s">
        <v>1636</v>
      </c>
      <c r="M21" s="962" t="str">
        <f>PROPER(_xlfn.TEXTAFTER(Table1[[#This Row],[Fill-out indicator]],"- "))</f>
        <v>Virgin</v>
      </c>
      <c r="N21" s="1095" t="s">
        <v>1710</v>
      </c>
      <c r="O21" s="1036">
        <f>ROUND(Table1[[#This Row],[Entry_AD_0]],1)</f>
        <v>0</v>
      </c>
      <c r="P21" s="1036"/>
      <c r="Q21" s="703">
        <f>'Emission factors - list'!D27</f>
        <v>5304.06</v>
      </c>
      <c r="R21" s="653" t="str">
        <f>'Emission factors - list'!E27</f>
        <v>kg CO2-eq / tonne</v>
      </c>
      <c r="S21" s="961" t="b">
        <f t="shared" si="0"/>
        <v>1</v>
      </c>
      <c r="T21" s="816">
        <f t="shared" si="1"/>
        <v>0</v>
      </c>
      <c r="U21" s="816">
        <f>Table1[[#This Row],[Results 
(kg CO2-eq)]]/1000</f>
        <v>0</v>
      </c>
      <c r="V21" s="816">
        <f>IF(Table1[[#This Row],[Results incl. comp. (ton CO2-eq2]]&lt;0,Table1[[#This Row],[Results incl. comp. (ton CO2-eq2]],0)</f>
        <v>0</v>
      </c>
      <c r="W21" s="816">
        <f t="shared" si="2"/>
        <v>0</v>
      </c>
      <c r="X21" s="816">
        <f>Table1[[#This Row],[Results
(ton CO2-eq)]]</f>
        <v>0</v>
      </c>
    </row>
    <row r="22" spans="2:24">
      <c r="B22" s="1048" t="s">
        <v>1632</v>
      </c>
      <c r="C22" s="1048" t="s">
        <v>1155</v>
      </c>
      <c r="D22" s="1048" t="s">
        <v>123</v>
      </c>
      <c r="E22" s="653" t="s">
        <v>1151</v>
      </c>
      <c r="F22" s="814">
        <f>IF(E22="Direct",_xlfn.XLOOKUP(D22,'Input import'!B:B,'Input import'!D:D,""),_xlfn.XLOOKUP(D22,'Facilitatory data'!E:E,'Facilitatory data'!G:G,""))</f>
        <v>0</v>
      </c>
      <c r="G22" s="653" t="str">
        <f>IF(E22="Direct",_xlfn.XLOOKUP(D22,'Input import'!B:B,'Input import'!E:E,_xlfn.XLOOKUP(D22,'Input sheet format'!F:F,'Input sheet format'!I:I,"")),_xlfn.XLOOKUP(D22,'Facilitatory data'!E:E,'Facilitatory data'!H:H,""))</f>
        <v>kg</v>
      </c>
      <c r="H22" s="653">
        <v>1</v>
      </c>
      <c r="I22" s="963" t="s">
        <v>96</v>
      </c>
      <c r="J22" s="849">
        <f t="shared" si="3"/>
        <v>1E-3</v>
      </c>
      <c r="K22" s="962" t="s">
        <v>1156</v>
      </c>
      <c r="L22" s="1034" t="s">
        <v>1636</v>
      </c>
      <c r="M22" s="962" t="str">
        <f>PROPER(_xlfn.TEXTAFTER(Table1[[#This Row],[Fill-out indicator]],"- "))</f>
        <v>Recycled / Second Hand</v>
      </c>
      <c r="N22" s="1095" t="s">
        <v>1711</v>
      </c>
      <c r="O22" s="1036">
        <f>ROUND(Table1[[#This Row],[Entry_AD_0]],1)</f>
        <v>0</v>
      </c>
      <c r="P22" s="1036"/>
      <c r="Q22" s="703">
        <f>'Emission factors - list'!D28</f>
        <v>1723.8195000000003</v>
      </c>
      <c r="R22" s="653" t="str">
        <f>'Emission factors - list'!E28</f>
        <v>kg CO2-eq / tonne</v>
      </c>
      <c r="S22" s="961" t="b">
        <f t="shared" si="0"/>
        <v>1</v>
      </c>
      <c r="T22" s="816">
        <f t="shared" si="1"/>
        <v>0</v>
      </c>
      <c r="U22" s="816">
        <f>Table1[[#This Row],[Results 
(kg CO2-eq)]]/1000</f>
        <v>0</v>
      </c>
      <c r="V22" s="816">
        <f>IF(Table1[[#This Row],[Results incl. comp. (ton CO2-eq2]]&lt;0,Table1[[#This Row],[Results incl. comp. (ton CO2-eq2]],0)</f>
        <v>0</v>
      </c>
      <c r="W22" s="816">
        <f t="shared" si="2"/>
        <v>0</v>
      </c>
      <c r="X22" s="816">
        <f>Table1[[#This Row],[Results
(ton CO2-eq)]]</f>
        <v>0</v>
      </c>
    </row>
    <row r="23" spans="2:24">
      <c r="B23" s="1048" t="s">
        <v>1632</v>
      </c>
      <c r="C23" s="1048" t="s">
        <v>1155</v>
      </c>
      <c r="D23" s="1048" t="s">
        <v>125</v>
      </c>
      <c r="E23" s="653" t="s">
        <v>1151</v>
      </c>
      <c r="F23" s="814">
        <f>IF(E23="Direct",_xlfn.XLOOKUP(D23,'Input import'!B:B,'Input import'!D:D,""),_xlfn.XLOOKUP(D23,'Facilitatory data'!E:E,'Facilitatory data'!G:G,""))</f>
        <v>0</v>
      </c>
      <c r="G23" s="653" t="str">
        <f>IF(E23="Direct",_xlfn.XLOOKUP(D23,'Input import'!B:B,'Input import'!E:E,_xlfn.XLOOKUP(D23,'Input sheet format'!F:F,'Input sheet format'!I:I,"")),_xlfn.XLOOKUP(D23,'Facilitatory data'!E:E,'Facilitatory data'!H:H,""))</f>
        <v>kg</v>
      </c>
      <c r="H23" s="653">
        <v>1</v>
      </c>
      <c r="I23" s="963" t="s">
        <v>96</v>
      </c>
      <c r="J23" s="849">
        <f t="shared" si="3"/>
        <v>1E-3</v>
      </c>
      <c r="K23" s="962" t="s">
        <v>1156</v>
      </c>
      <c r="L23" s="962" t="str">
        <f>_xlfn.TEXTBEFORE(Table1[[#This Row],[Fill-out indicator]]," ")</f>
        <v>Wood</v>
      </c>
      <c r="M23" s="1095" t="s">
        <v>1712</v>
      </c>
      <c r="N23" s="1095" t="s">
        <v>1711</v>
      </c>
      <c r="O23" s="1036">
        <f>ROUND(Table1[[#This Row],[Entry_AD_0]],1)</f>
        <v>0</v>
      </c>
      <c r="P23" s="1036"/>
      <c r="Q23" s="703">
        <f>'Emission factors - list'!D29</f>
        <v>823</v>
      </c>
      <c r="R23" s="653" t="str">
        <f>'Emission factors - list'!E29</f>
        <v>kg CO2-eq / tonne</v>
      </c>
      <c r="S23" s="961" t="b">
        <f t="shared" si="0"/>
        <v>1</v>
      </c>
      <c r="T23" s="816">
        <f t="shared" si="1"/>
        <v>0</v>
      </c>
      <c r="U23" s="816">
        <f>Table1[[#This Row],[Results 
(kg CO2-eq)]]/1000</f>
        <v>0</v>
      </c>
      <c r="V23" s="816">
        <f>IF(Table1[[#This Row],[Results incl. comp. (ton CO2-eq2]]&lt;0,Table1[[#This Row],[Results incl. comp. (ton CO2-eq2]],0)</f>
        <v>0</v>
      </c>
      <c r="W23" s="816">
        <f t="shared" si="2"/>
        <v>0</v>
      </c>
      <c r="X23" s="816">
        <f>Table1[[#This Row],[Results
(ton CO2-eq)]]</f>
        <v>0</v>
      </c>
    </row>
    <row r="24" spans="2:24">
      <c r="B24" s="1048" t="s">
        <v>1632</v>
      </c>
      <c r="C24" s="1048" t="s">
        <v>1155</v>
      </c>
      <c r="D24" s="1048" t="s">
        <v>127</v>
      </c>
      <c r="E24" s="653" t="s">
        <v>1151</v>
      </c>
      <c r="F24" s="814">
        <f>IF(E24="Direct",_xlfn.XLOOKUP(D24,'Input import'!B:B,'Input import'!D:D,""),_xlfn.XLOOKUP(D24,'Facilitatory data'!E:E,'Facilitatory data'!G:G,""))</f>
        <v>0</v>
      </c>
      <c r="G24" s="653" t="str">
        <f>IF(E24="Direct",_xlfn.XLOOKUP(D24,'Input import'!B:B,'Input import'!E:E,_xlfn.XLOOKUP(D24,'Input sheet format'!F:F,'Input sheet format'!I:I,"")),_xlfn.XLOOKUP(D24,'Facilitatory data'!E:E,'Facilitatory data'!H:H,""))</f>
        <v>kg</v>
      </c>
      <c r="H24" s="653">
        <v>1</v>
      </c>
      <c r="I24" s="963" t="s">
        <v>96</v>
      </c>
      <c r="J24" s="849">
        <f t="shared" si="3"/>
        <v>1E-3</v>
      </c>
      <c r="K24" s="962" t="s">
        <v>1156</v>
      </c>
      <c r="L24" s="962" t="str">
        <f>_xlfn.TEXTBEFORE(Table1[[#This Row],[Fill-out indicator]]," ")</f>
        <v>Wood</v>
      </c>
      <c r="M24" s="962" t="str">
        <f>PROPER(_xlfn.TEXTAFTER(Table1[[#This Row],[Fill-out indicator]],"- "))</f>
        <v>Recycled / Second Hand</v>
      </c>
      <c r="N24" s="1095" t="s">
        <v>1711</v>
      </c>
      <c r="O24" s="1036">
        <f>ROUND(Table1[[#This Row],[Entry_AD_0]],1)</f>
        <v>0</v>
      </c>
      <c r="P24" s="1036"/>
      <c r="Q24" s="964">
        <f>'Emission factors - list'!D30*1000</f>
        <v>113</v>
      </c>
      <c r="R24" s="653" t="str">
        <f>'Emission factors - list'!E31</f>
        <v>kg CO2-eq / tonne</v>
      </c>
      <c r="S24" s="961" t="b">
        <f t="shared" si="0"/>
        <v>1</v>
      </c>
      <c r="T24" s="816">
        <f t="shared" si="1"/>
        <v>0</v>
      </c>
      <c r="U24" s="816">
        <f>Table1[[#This Row],[Results 
(kg CO2-eq)]]/1000</f>
        <v>0</v>
      </c>
      <c r="V24" s="816">
        <f>IF(Table1[[#This Row],[Results incl. comp. (ton CO2-eq2]]&lt;0,Table1[[#This Row],[Results incl. comp. (ton CO2-eq2]],0)</f>
        <v>0</v>
      </c>
      <c r="W24" s="816">
        <f t="shared" si="2"/>
        <v>0</v>
      </c>
      <c r="X24" s="816">
        <f>Table1[[#This Row],[Results
(ton CO2-eq)]]</f>
        <v>0</v>
      </c>
    </row>
    <row r="25" spans="2:24">
      <c r="B25" s="1048" t="s">
        <v>1632</v>
      </c>
      <c r="C25" s="1048" t="s">
        <v>1155</v>
      </c>
      <c r="D25" s="1048" t="s">
        <v>129</v>
      </c>
      <c r="E25" s="653" t="s">
        <v>1151</v>
      </c>
      <c r="F25" s="814">
        <f>IF(E25="Direct",_xlfn.XLOOKUP(D25,'Input import'!B:B,'Input import'!D:D,""),_xlfn.XLOOKUP(D25,'Facilitatory data'!E:E,'Facilitatory data'!G:G,""))</f>
        <v>0</v>
      </c>
      <c r="G25" s="653" t="str">
        <f>IF(E25="Direct",_xlfn.XLOOKUP(D25,'Input import'!B:B,'Input import'!E:E,_xlfn.XLOOKUP(D25,'Input sheet format'!F:F,'Input sheet format'!I:I,"")),_xlfn.XLOOKUP(D25,'Facilitatory data'!E:E,'Facilitatory data'!H:H,""))</f>
        <v>kg</v>
      </c>
      <c r="H25" s="653">
        <v>1</v>
      </c>
      <c r="I25" s="963" t="s">
        <v>96</v>
      </c>
      <c r="J25" s="849">
        <f t="shared" si="3"/>
        <v>1E-3</v>
      </c>
      <c r="K25" s="962" t="s">
        <v>1156</v>
      </c>
      <c r="L25" s="1034" t="s">
        <v>1637</v>
      </c>
      <c r="M25" s="962" t="str">
        <f>PROPER(_xlfn.TEXTAFTER(Table1[[#This Row],[Fill-out indicator]],"- "))</f>
        <v>Virgin</v>
      </c>
      <c r="N25" s="1095" t="s">
        <v>1710</v>
      </c>
      <c r="O25" s="1036">
        <f>ROUND(Table1[[#This Row],[Entry_AD_0]],1)</f>
        <v>0</v>
      </c>
      <c r="P25" s="1036"/>
      <c r="Q25" s="703">
        <f>'Emission factors - list'!D31</f>
        <v>15780</v>
      </c>
      <c r="R25" s="653" t="str">
        <f>'Emission factors - list'!E31</f>
        <v>kg CO2-eq / tonne</v>
      </c>
      <c r="S25" s="961" t="b">
        <f t="shared" si="0"/>
        <v>1</v>
      </c>
      <c r="T25" s="816">
        <f t="shared" si="1"/>
        <v>0</v>
      </c>
      <c r="U25" s="816">
        <f>Table1[[#This Row],[Results 
(kg CO2-eq)]]/1000</f>
        <v>0</v>
      </c>
      <c r="V25" s="816">
        <f>IF(Table1[[#This Row],[Results incl. comp. (ton CO2-eq2]]&lt;0,Table1[[#This Row],[Results incl. comp. (ton CO2-eq2]],0)</f>
        <v>0</v>
      </c>
      <c r="W25" s="816">
        <f t="shared" si="2"/>
        <v>0</v>
      </c>
      <c r="X25" s="816">
        <f>Table1[[#This Row],[Results
(ton CO2-eq)]]</f>
        <v>0</v>
      </c>
    </row>
    <row r="26" spans="2:24">
      <c r="B26" s="1048" t="s">
        <v>1632</v>
      </c>
      <c r="C26" s="1048" t="s">
        <v>1155</v>
      </c>
      <c r="D26" s="1048" t="s">
        <v>131</v>
      </c>
      <c r="E26" s="653" t="s">
        <v>1151</v>
      </c>
      <c r="F26" s="814">
        <f>IF(E26="Direct",_xlfn.XLOOKUP(D26,'Input import'!B:B,'Input import'!D:D,""),_xlfn.XLOOKUP(D26,'Facilitatory data'!E:E,'Facilitatory data'!G:G,""))</f>
        <v>0</v>
      </c>
      <c r="G26" s="653" t="str">
        <f>IF(E26="Direct",_xlfn.XLOOKUP(D26,'Input import'!B:B,'Input import'!E:E,_xlfn.XLOOKUP(D26,'Input sheet format'!F:F,'Input sheet format'!I:I,"")),_xlfn.XLOOKUP(D26,'Facilitatory data'!E:E,'Facilitatory data'!H:H,""))</f>
        <v>kg</v>
      </c>
      <c r="H26" s="653">
        <v>1</v>
      </c>
      <c r="I26" s="963" t="s">
        <v>96</v>
      </c>
      <c r="J26" s="849">
        <f t="shared" si="3"/>
        <v>1E-3</v>
      </c>
      <c r="K26" s="962" t="s">
        <v>1156</v>
      </c>
      <c r="L26" s="1034" t="s">
        <v>1637</v>
      </c>
      <c r="M26" s="962" t="str">
        <f>PROPER(_xlfn.TEXTAFTER(Table1[[#This Row],[Fill-out indicator]],"- "))</f>
        <v>Recycled / Second Hand</v>
      </c>
      <c r="N26" s="1095" t="s">
        <v>1711</v>
      </c>
      <c r="O26" s="1036">
        <f>ROUND(Table1[[#This Row],[Entry_AD_0]],1)</f>
        <v>0</v>
      </c>
      <c r="P26" s="1036"/>
      <c r="Q26" s="703">
        <f>'Emission factors - list'!D32</f>
        <v>5200</v>
      </c>
      <c r="R26" s="653" t="str">
        <f>'Emission factors - list'!E32</f>
        <v>kg CO2-eq / tonne</v>
      </c>
      <c r="S26" s="961" t="b">
        <f t="shared" si="0"/>
        <v>1</v>
      </c>
      <c r="T26" s="816">
        <f t="shared" si="1"/>
        <v>0</v>
      </c>
      <c r="U26" s="816">
        <f>Table1[[#This Row],[Results 
(kg CO2-eq)]]/1000</f>
        <v>0</v>
      </c>
      <c r="V26" s="816">
        <f>IF(Table1[[#This Row],[Results incl. comp. (ton CO2-eq2]]&lt;0,Table1[[#This Row],[Results incl. comp. (ton CO2-eq2]],0)</f>
        <v>0</v>
      </c>
      <c r="W26" s="816">
        <f t="shared" si="2"/>
        <v>0</v>
      </c>
      <c r="X26" s="816">
        <f>Table1[[#This Row],[Results
(ton CO2-eq)]]</f>
        <v>0</v>
      </c>
    </row>
    <row r="27" spans="2:24">
      <c r="B27" s="1048" t="s">
        <v>1632</v>
      </c>
      <c r="C27" s="1048" t="s">
        <v>1155</v>
      </c>
      <c r="D27" s="1048" t="s">
        <v>133</v>
      </c>
      <c r="E27" s="653" t="s">
        <v>1151</v>
      </c>
      <c r="F27" s="814">
        <f>IF(E27="Direct",_xlfn.XLOOKUP(D27,'Input import'!B:B,'Input import'!D:D,""),_xlfn.XLOOKUP(D27,'Facilitatory data'!E:E,'Facilitatory data'!G:G,""))</f>
        <v>0</v>
      </c>
      <c r="G27" s="653" t="str">
        <f>IF(E27="Direct",_xlfn.XLOOKUP(D27,'Input import'!B:B,'Input import'!E:E,_xlfn.XLOOKUP(D27,'Input sheet format'!F:F,'Input sheet format'!I:I,"")),_xlfn.XLOOKUP(D27,'Facilitatory data'!E:E,'Facilitatory data'!H:H,""))</f>
        <v>kg</v>
      </c>
      <c r="H27" s="653">
        <v>1</v>
      </c>
      <c r="I27" s="963" t="s">
        <v>96</v>
      </c>
      <c r="J27" s="849">
        <f t="shared" si="3"/>
        <v>1E-3</v>
      </c>
      <c r="K27" s="962" t="s">
        <v>1156</v>
      </c>
      <c r="L27" s="1034" t="s">
        <v>1638</v>
      </c>
      <c r="M27" s="1095" t="s">
        <v>1712</v>
      </c>
      <c r="N27" s="1095" t="s">
        <v>1711</v>
      </c>
      <c r="O27" s="1036">
        <f>ROUND(Table1[[#This Row],[Entry_AD_0]],1)</f>
        <v>0</v>
      </c>
      <c r="P27" s="1036"/>
      <c r="Q27" s="703">
        <f>'Emission factors - list'!D33</f>
        <v>8230</v>
      </c>
      <c r="R27" s="653" t="str">
        <f>'Emission factors - list'!E33</f>
        <v>kg CO2-eq / tonne</v>
      </c>
      <c r="S27" s="961" t="b">
        <f t="shared" si="0"/>
        <v>1</v>
      </c>
      <c r="T27" s="816">
        <f t="shared" si="1"/>
        <v>0</v>
      </c>
      <c r="U27" s="816">
        <f>Table1[[#This Row],[Results 
(kg CO2-eq)]]/1000</f>
        <v>0</v>
      </c>
      <c r="V27" s="816">
        <f>IF(Table1[[#This Row],[Results incl. comp. (ton CO2-eq2]]&lt;0,Table1[[#This Row],[Results incl. comp. (ton CO2-eq2]],0)</f>
        <v>0</v>
      </c>
      <c r="W27" s="816">
        <f t="shared" si="2"/>
        <v>0</v>
      </c>
      <c r="X27" s="816">
        <f>Table1[[#This Row],[Results
(ton CO2-eq)]]</f>
        <v>0</v>
      </c>
    </row>
    <row r="28" spans="2:24">
      <c r="B28" s="1048" t="s">
        <v>1632</v>
      </c>
      <c r="C28" s="1048" t="s">
        <v>1155</v>
      </c>
      <c r="D28" s="1048" t="s">
        <v>135</v>
      </c>
      <c r="E28" s="653" t="s">
        <v>1151</v>
      </c>
      <c r="F28" s="814">
        <f>IF(E28="Direct",_xlfn.XLOOKUP(D28,'Input import'!B:B,'Input import'!D:D,""),_xlfn.XLOOKUP(D28,'Facilitatory data'!E:E,'Facilitatory data'!G:G,""))</f>
        <v>0</v>
      </c>
      <c r="G28" s="653" t="str">
        <f>IF(E28="Direct",_xlfn.XLOOKUP(D28,'Input import'!B:B,'Input import'!E:E,_xlfn.XLOOKUP(D28,'Input sheet format'!F:F,'Input sheet format'!I:I,"")),_xlfn.XLOOKUP(D28,'Facilitatory data'!E:E,'Facilitatory data'!H:H,""))</f>
        <v>kg</v>
      </c>
      <c r="H28" s="653">
        <v>1</v>
      </c>
      <c r="I28" s="963" t="s">
        <v>96</v>
      </c>
      <c r="J28" s="849">
        <f t="shared" si="3"/>
        <v>1E-3</v>
      </c>
      <c r="K28" s="962" t="s">
        <v>1156</v>
      </c>
      <c r="L28" s="1034" t="s">
        <v>1638</v>
      </c>
      <c r="M28" s="962" t="str">
        <f>PROPER(_xlfn.TEXTAFTER(Table1[[#This Row],[Fill-out indicator]],"- "))</f>
        <v>Recycled / Second Hand</v>
      </c>
      <c r="N28" s="1095" t="s">
        <v>1711</v>
      </c>
      <c r="O28" s="1036">
        <f>ROUND(Table1[[#This Row],[Entry_AD_0]],1)</f>
        <v>0</v>
      </c>
      <c r="P28" s="1036"/>
      <c r="Q28" s="703">
        <f>'Emission factors - list'!D34</f>
        <v>2400</v>
      </c>
      <c r="R28" s="653" t="str">
        <f>'Emission factors - list'!E34</f>
        <v>kg CO2-eq / tonne</v>
      </c>
      <c r="S28" s="961" t="b">
        <f t="shared" si="0"/>
        <v>1</v>
      </c>
      <c r="T28" s="816">
        <f t="shared" si="1"/>
        <v>0</v>
      </c>
      <c r="U28" s="816">
        <f>Table1[[#This Row],[Results 
(kg CO2-eq)]]/1000</f>
        <v>0</v>
      </c>
      <c r="V28" s="816">
        <f>IF(Table1[[#This Row],[Results incl. comp. (ton CO2-eq2]]&lt;0,Table1[[#This Row],[Results incl. comp. (ton CO2-eq2]],0)</f>
        <v>0</v>
      </c>
      <c r="W28" s="816">
        <f t="shared" si="2"/>
        <v>0</v>
      </c>
      <c r="X28" s="816">
        <f>Table1[[#This Row],[Results
(ton CO2-eq)]]</f>
        <v>0</v>
      </c>
    </row>
    <row r="29" spans="2:24">
      <c r="B29" s="1048" t="s">
        <v>1632</v>
      </c>
      <c r="C29" s="1048" t="s">
        <v>1155</v>
      </c>
      <c r="D29" s="1048" t="s">
        <v>137</v>
      </c>
      <c r="E29" s="653" t="s">
        <v>1151</v>
      </c>
      <c r="F29" s="814">
        <f>IF(E29="Direct",_xlfn.XLOOKUP(D29,'Input import'!B:B,'Input import'!D:D,""),_xlfn.XLOOKUP(D29,'Facilitatory data'!E:E,'Facilitatory data'!G:G,""))</f>
        <v>0</v>
      </c>
      <c r="G29" s="653" t="str">
        <f>IF(E29="Direct",_xlfn.XLOOKUP(D29,'Input import'!B:B,'Input import'!E:E,_xlfn.XLOOKUP(D29,'Input sheet format'!F:F,'Input sheet format'!I:I,"")),_xlfn.XLOOKUP(D29,'Facilitatory data'!E:E,'Facilitatory data'!H:H,""))</f>
        <v>kg</v>
      </c>
      <c r="H29" s="653">
        <v>1</v>
      </c>
      <c r="I29" s="963" t="s">
        <v>96</v>
      </c>
      <c r="J29" s="849">
        <f t="shared" si="3"/>
        <v>1E-3</v>
      </c>
      <c r="K29" s="962" t="s">
        <v>1156</v>
      </c>
      <c r="L29" s="1034" t="s">
        <v>1639</v>
      </c>
      <c r="M29" s="962" t="str">
        <f>PROPER(_xlfn.TEXTAFTER(Table1[[#This Row],[Fill-out indicator]],"- "))</f>
        <v>Virgin</v>
      </c>
      <c r="N29" s="1095" t="s">
        <v>1710</v>
      </c>
      <c r="O29" s="1036">
        <f>ROUND(Table1[[#This Row],[Entry_AD_0]],1)</f>
        <v>0</v>
      </c>
      <c r="P29" s="1036"/>
      <c r="Q29" s="703">
        <f>'Emission factors - list'!D35</f>
        <v>1807.4000000000003</v>
      </c>
      <c r="R29" s="653" t="str">
        <f>'Emission factors - list'!E35</f>
        <v>kg CO2-eq / tonne</v>
      </c>
      <c r="S29" s="961" t="b">
        <f t="shared" si="0"/>
        <v>1</v>
      </c>
      <c r="T29" s="816">
        <f t="shared" si="1"/>
        <v>0</v>
      </c>
      <c r="U29" s="816">
        <f>Table1[[#This Row],[Results 
(kg CO2-eq)]]/1000</f>
        <v>0</v>
      </c>
      <c r="V29" s="816">
        <f>IF(Table1[[#This Row],[Results incl. comp. (ton CO2-eq2]]&lt;0,Table1[[#This Row],[Results incl. comp. (ton CO2-eq2]],0)</f>
        <v>0</v>
      </c>
      <c r="W29" s="816">
        <f t="shared" si="2"/>
        <v>0</v>
      </c>
      <c r="X29" s="816">
        <f>Table1[[#This Row],[Results
(ton CO2-eq)]]</f>
        <v>0</v>
      </c>
    </row>
    <row r="30" spans="2:24">
      <c r="B30" s="1048" t="s">
        <v>1632</v>
      </c>
      <c r="C30" s="1048" t="s">
        <v>1155</v>
      </c>
      <c r="D30" s="1048" t="s">
        <v>139</v>
      </c>
      <c r="E30" s="653" t="s">
        <v>1151</v>
      </c>
      <c r="F30" s="814">
        <f>IF(E30="Direct",_xlfn.XLOOKUP(D30,'Input import'!B:B,'Input import'!D:D,""),_xlfn.XLOOKUP(D30,'Facilitatory data'!E:E,'Facilitatory data'!G:G,""))</f>
        <v>0</v>
      </c>
      <c r="G30" s="653" t="str">
        <f>IF(E30="Direct",_xlfn.XLOOKUP(D30,'Input import'!B:B,'Input import'!E:E,_xlfn.XLOOKUP(D30,'Input sheet format'!F:F,'Input sheet format'!I:I,"")),_xlfn.XLOOKUP(D30,'Facilitatory data'!E:E,'Facilitatory data'!H:H,""))</f>
        <v>kg</v>
      </c>
      <c r="H30" s="653">
        <v>1</v>
      </c>
      <c r="I30" s="963" t="s">
        <v>96</v>
      </c>
      <c r="J30" s="849">
        <f t="shared" si="3"/>
        <v>1E-3</v>
      </c>
      <c r="K30" s="962" t="s">
        <v>1156</v>
      </c>
      <c r="L30" s="1034" t="s">
        <v>1639</v>
      </c>
      <c r="M30" s="962" t="str">
        <f>PROPER(_xlfn.TEXTAFTER(Table1[[#This Row],[Fill-out indicator]],"- "))</f>
        <v>Recycled / Second Hand</v>
      </c>
      <c r="N30" s="1095" t="s">
        <v>1711</v>
      </c>
      <c r="O30" s="1036">
        <f>ROUND(Table1[[#This Row],[Entry_AD_0]],1)</f>
        <v>0</v>
      </c>
      <c r="P30" s="1036"/>
      <c r="Q30" s="703">
        <f>'Emission factors - list'!D36</f>
        <v>399.2</v>
      </c>
      <c r="R30" s="653" t="str">
        <f>'Emission factors - list'!E36</f>
        <v>kg CO2-eq / tonne</v>
      </c>
      <c r="S30" s="961" t="b">
        <f t="shared" si="0"/>
        <v>1</v>
      </c>
      <c r="T30" s="816">
        <f t="shared" si="1"/>
        <v>0</v>
      </c>
      <c r="U30" s="816">
        <f>Table1[[#This Row],[Results 
(kg CO2-eq)]]/1000</f>
        <v>0</v>
      </c>
      <c r="V30" s="816">
        <f>IF(Table1[[#This Row],[Results incl. comp. (ton CO2-eq2]]&lt;0,Table1[[#This Row],[Results incl. comp. (ton CO2-eq2]],0)</f>
        <v>0</v>
      </c>
      <c r="W30" s="816">
        <f t="shared" si="2"/>
        <v>0</v>
      </c>
      <c r="X30" s="816">
        <f>Table1[[#This Row],[Results
(ton CO2-eq)]]</f>
        <v>0</v>
      </c>
    </row>
    <row r="31" spans="2:24">
      <c r="B31" s="1048" t="s">
        <v>1632</v>
      </c>
      <c r="C31" s="1048" t="s">
        <v>1155</v>
      </c>
      <c r="D31" s="1048" t="s">
        <v>141</v>
      </c>
      <c r="E31" s="653" t="s">
        <v>1151</v>
      </c>
      <c r="F31" s="814">
        <f>IF(E31="Direct",_xlfn.XLOOKUP(D31,'Input import'!B:B,'Input import'!D:D,""),_xlfn.XLOOKUP(D31,'Facilitatory data'!E:E,'Facilitatory data'!G:G,""))</f>
        <v>0</v>
      </c>
      <c r="G31" s="653" t="str">
        <f>IF(E31="Direct",_xlfn.XLOOKUP(D31,'Input import'!B:B,'Input import'!E:E,_xlfn.XLOOKUP(D31,'Input sheet format'!F:F,'Input sheet format'!I:I,"")),_xlfn.XLOOKUP(D31,'Facilitatory data'!E:E,'Facilitatory data'!H:H,""))</f>
        <v>kg</v>
      </c>
      <c r="H31" s="653">
        <v>1</v>
      </c>
      <c r="I31" s="963" t="s">
        <v>96</v>
      </c>
      <c r="J31" s="849">
        <f t="shared" si="3"/>
        <v>1E-3</v>
      </c>
      <c r="K31" s="962" t="s">
        <v>1156</v>
      </c>
      <c r="L31" s="1034" t="s">
        <v>1640</v>
      </c>
      <c r="M31" s="1095" t="s">
        <v>1712</v>
      </c>
      <c r="N31" s="1095" t="s">
        <v>1711</v>
      </c>
      <c r="O31" s="1036">
        <f>ROUND(Table1[[#This Row],[Entry_AD_0]],1)</f>
        <v>0</v>
      </c>
      <c r="P31" s="1036"/>
      <c r="Q31" s="850">
        <f>'Emission factors - list'!D37</f>
        <v>446.70051839035256</v>
      </c>
      <c r="R31" s="653" t="str">
        <f>'Emission factors - list'!E37</f>
        <v>kg CO2-eq / tonne</v>
      </c>
      <c r="S31" s="961" t="b">
        <f t="shared" si="0"/>
        <v>1</v>
      </c>
      <c r="T31" s="816">
        <f t="shared" si="1"/>
        <v>0</v>
      </c>
      <c r="U31" s="816">
        <f>Table1[[#This Row],[Results 
(kg CO2-eq)]]/1000</f>
        <v>0</v>
      </c>
      <c r="V31" s="816">
        <f>IF(Table1[[#This Row],[Results incl. comp. (ton CO2-eq2]]&lt;0,Table1[[#This Row],[Results incl. comp. (ton CO2-eq2]],0)</f>
        <v>0</v>
      </c>
      <c r="W31" s="816">
        <f t="shared" si="2"/>
        <v>0</v>
      </c>
      <c r="X31" s="816">
        <f>Table1[[#This Row],[Results
(ton CO2-eq)]]</f>
        <v>0</v>
      </c>
    </row>
    <row r="32" spans="2:24">
      <c r="B32" s="1048" t="s">
        <v>1632</v>
      </c>
      <c r="C32" s="1048" t="s">
        <v>1155</v>
      </c>
      <c r="D32" s="1048" t="s">
        <v>143</v>
      </c>
      <c r="E32" s="653" t="s">
        <v>1151</v>
      </c>
      <c r="F32" s="814">
        <f>IF(E32="Direct",_xlfn.XLOOKUP(D32,'Input import'!B:B,'Input import'!D:D,""),_xlfn.XLOOKUP(D32,'Facilitatory data'!E:E,'Facilitatory data'!G:G,""))</f>
        <v>0</v>
      </c>
      <c r="G32" s="653" t="str">
        <f>IF(E32="Direct",_xlfn.XLOOKUP(D32,'Input import'!B:B,'Input import'!E:E,_xlfn.XLOOKUP(D32,'Input sheet format'!F:F,'Input sheet format'!I:I,"")),_xlfn.XLOOKUP(D32,'Facilitatory data'!E:E,'Facilitatory data'!H:H,""))</f>
        <v>kg</v>
      </c>
      <c r="H32" s="653">
        <v>1</v>
      </c>
      <c r="I32" s="963" t="s">
        <v>96</v>
      </c>
      <c r="J32" s="849">
        <f t="shared" si="3"/>
        <v>1E-3</v>
      </c>
      <c r="K32" s="962" t="s">
        <v>1156</v>
      </c>
      <c r="L32" s="1034" t="s">
        <v>1640</v>
      </c>
      <c r="M32" s="962" t="str">
        <f>PROPER(_xlfn.TEXTAFTER(Table1[[#This Row],[Fill-out indicator]],"- "))</f>
        <v>Recycled / Second Hand</v>
      </c>
      <c r="N32" s="1095" t="s">
        <v>1711</v>
      </c>
      <c r="O32" s="1036">
        <f>ROUND(Table1[[#This Row],[Entry_AD_0]],1)</f>
        <v>0</v>
      </c>
      <c r="P32" s="1036"/>
      <c r="Q32" s="703">
        <f>(Q30/Q29)*Q31</f>
        <v>98.662635244787381</v>
      </c>
      <c r="R32" s="653" t="str">
        <f>'Emission factors - list'!E38</f>
        <v>kg CO2-eq / tonne</v>
      </c>
      <c r="S32" s="961" t="b">
        <f t="shared" si="0"/>
        <v>1</v>
      </c>
      <c r="T32" s="816">
        <f t="shared" si="1"/>
        <v>0</v>
      </c>
      <c r="U32" s="816">
        <f>Table1[[#This Row],[Results 
(kg CO2-eq)]]/1000</f>
        <v>0</v>
      </c>
      <c r="V32" s="816">
        <f>IF(Table1[[#This Row],[Results incl. comp. (ton CO2-eq2]]&lt;0,Table1[[#This Row],[Results incl. comp. (ton CO2-eq2]],0)</f>
        <v>0</v>
      </c>
      <c r="W32" s="816">
        <f t="shared" si="2"/>
        <v>0</v>
      </c>
      <c r="X32" s="816">
        <f>Table1[[#This Row],[Results
(ton CO2-eq)]]</f>
        <v>0</v>
      </c>
    </row>
    <row r="33" spans="2:24">
      <c r="B33" s="1048" t="s">
        <v>1632</v>
      </c>
      <c r="C33" s="1048" t="s">
        <v>1155</v>
      </c>
      <c r="D33" s="1048" t="s">
        <v>145</v>
      </c>
      <c r="E33" s="653" t="s">
        <v>1151</v>
      </c>
      <c r="F33" s="814">
        <f>IF(E33="Direct",_xlfn.XLOOKUP(D33,'Input import'!B:B,'Input import'!D:D,""),_xlfn.XLOOKUP(D33,'Facilitatory data'!E:E,'Facilitatory data'!G:G,""))</f>
        <v>0</v>
      </c>
      <c r="G33" s="653" t="str">
        <f>IF(E33="Direct",_xlfn.XLOOKUP(D33,'Input import'!B:B,'Input import'!E:E,_xlfn.XLOOKUP(D33,'Input sheet format'!F:F,'Input sheet format'!I:I,"")),_xlfn.XLOOKUP(D33,'Facilitatory data'!E:E,'Facilitatory data'!H:H,""))</f>
        <v>kg</v>
      </c>
      <c r="H33" s="653">
        <v>1</v>
      </c>
      <c r="I33" s="963" t="s">
        <v>96</v>
      </c>
      <c r="J33" s="849">
        <f t="shared" si="3"/>
        <v>1E-3</v>
      </c>
      <c r="K33" s="962" t="s">
        <v>1156</v>
      </c>
      <c r="L33" s="962" t="str">
        <f>_xlfn.TEXTBEFORE(Table1[[#This Row],[Fill-out indicator]]," ")</f>
        <v>Paper</v>
      </c>
      <c r="M33" s="1095" t="s">
        <v>1712</v>
      </c>
      <c r="N33" s="1095" t="s">
        <v>1711</v>
      </c>
      <c r="O33" s="1036">
        <f>ROUND(Table1[[#This Row],[Entry_AD_0]],1)</f>
        <v>0</v>
      </c>
      <c r="P33" s="1036"/>
      <c r="Q33" s="703">
        <f>'Emission factors - list'!D38</f>
        <v>741</v>
      </c>
      <c r="R33" s="653" t="str">
        <f>'Emission factors - list'!E38</f>
        <v>kg CO2-eq / tonne</v>
      </c>
      <c r="S33" s="961" t="b">
        <f t="shared" si="0"/>
        <v>1</v>
      </c>
      <c r="T33" s="816">
        <f t="shared" si="1"/>
        <v>0</v>
      </c>
      <c r="U33" s="816">
        <f>Table1[[#This Row],[Results 
(kg CO2-eq)]]/1000</f>
        <v>0</v>
      </c>
      <c r="V33" s="816">
        <f>IF(Table1[[#This Row],[Results incl. comp. (ton CO2-eq2]]&lt;0,Table1[[#This Row],[Results incl. comp. (ton CO2-eq2]],0)</f>
        <v>0</v>
      </c>
      <c r="W33" s="816">
        <f t="shared" si="2"/>
        <v>0</v>
      </c>
      <c r="X33" s="816">
        <f>Table1[[#This Row],[Results
(ton CO2-eq)]]</f>
        <v>0</v>
      </c>
    </row>
    <row r="34" spans="2:24">
      <c r="B34" s="1048" t="s">
        <v>1632</v>
      </c>
      <c r="C34" s="1048" t="s">
        <v>1155</v>
      </c>
      <c r="D34" s="1048" t="s">
        <v>147</v>
      </c>
      <c r="E34" s="653" t="s">
        <v>1151</v>
      </c>
      <c r="F34" s="814">
        <f>IF(E34="Direct",_xlfn.XLOOKUP(D34,'Input import'!B:B,'Input import'!D:D,""),_xlfn.XLOOKUP(D34,'Facilitatory data'!E:E,'Facilitatory data'!G:G,""))</f>
        <v>0</v>
      </c>
      <c r="G34" s="653" t="str">
        <f>IF(E34="Direct",_xlfn.XLOOKUP(D34,'Input import'!B:B,'Input import'!E:E,_xlfn.XLOOKUP(D34,'Input sheet format'!F:F,'Input sheet format'!I:I,"")),_xlfn.XLOOKUP(D34,'Facilitatory data'!E:E,'Facilitatory data'!H:H,""))</f>
        <v>kg</v>
      </c>
      <c r="H34" s="653">
        <v>1</v>
      </c>
      <c r="I34" s="963" t="s">
        <v>96</v>
      </c>
      <c r="J34" s="849">
        <f t="shared" si="3"/>
        <v>1E-3</v>
      </c>
      <c r="K34" s="962" t="s">
        <v>1156</v>
      </c>
      <c r="L34" s="962" t="str">
        <f>_xlfn.TEXTBEFORE(Table1[[#This Row],[Fill-out indicator]]," ")</f>
        <v>Paper</v>
      </c>
      <c r="M34" s="962" t="str">
        <f>PROPER(_xlfn.TEXTAFTER(Table1[[#This Row],[Fill-out indicator]],"- "))</f>
        <v>Recycled / Second Hand</v>
      </c>
      <c r="N34" s="1095" t="s">
        <v>1711</v>
      </c>
      <c r="O34" s="1036">
        <f>ROUND(Table1[[#This Row],[Entry_AD_0]],1)</f>
        <v>0</v>
      </c>
      <c r="P34" s="1036"/>
      <c r="Q34" s="703">
        <f>'Emission factors - list'!D39</f>
        <v>459.42</v>
      </c>
      <c r="R34" s="653" t="str">
        <f>'Emission factors - list'!E39</f>
        <v>kg CO2-eq / tonne</v>
      </c>
      <c r="S34" s="961" t="b">
        <f t="shared" si="0"/>
        <v>1</v>
      </c>
      <c r="T34" s="816">
        <f t="shared" si="1"/>
        <v>0</v>
      </c>
      <c r="U34" s="816">
        <f>Table1[[#This Row],[Results 
(kg CO2-eq)]]/1000</f>
        <v>0</v>
      </c>
      <c r="V34" s="816">
        <f>IF(Table1[[#This Row],[Results incl. comp. (ton CO2-eq2]]&lt;0,Table1[[#This Row],[Results incl. comp. (ton CO2-eq2]],0)</f>
        <v>0</v>
      </c>
      <c r="W34" s="816">
        <f t="shared" si="2"/>
        <v>0</v>
      </c>
      <c r="X34" s="816">
        <f>Table1[[#This Row],[Results
(ton CO2-eq)]]</f>
        <v>0</v>
      </c>
    </row>
    <row r="35" spans="2:24">
      <c r="B35" s="1048" t="s">
        <v>1911</v>
      </c>
      <c r="C35" s="1048" t="s">
        <v>151</v>
      </c>
      <c r="D35" s="1048" t="s">
        <v>1002</v>
      </c>
      <c r="E35" s="962" t="s">
        <v>1157</v>
      </c>
      <c r="F35" s="814">
        <f>IF(E35="Direct",_xlfn.XLOOKUP(D35,'Input import'!B:B,'Input import'!D:D,""),_xlfn.XLOOKUP(D35,'Facilitatory data'!E:E,'Facilitatory data'!G:G,""))</f>
        <v>0</v>
      </c>
      <c r="G35" s="653" t="str">
        <f>IF(E35="Direct",_xlfn.XLOOKUP(D35,'Input import'!B:B,'Input import'!E:E,_xlfn.XLOOKUP(D35,'Input sheet format'!F:F,'Input sheet format'!I:I,"")),_xlfn.XLOOKUP(D35,'Facilitatory data'!E:E,'Facilitatory data'!H:H,""))</f>
        <v>Number of items</v>
      </c>
      <c r="H35" s="653">
        <v>1</v>
      </c>
      <c r="I35" s="653" t="s">
        <v>153</v>
      </c>
      <c r="J35" s="849">
        <f>'Emission factors - list'!D53</f>
        <v>0.02</v>
      </c>
      <c r="K35" s="962" t="s">
        <v>96</v>
      </c>
      <c r="L35" s="1034" t="s">
        <v>1653</v>
      </c>
      <c r="M35" s="1034" t="s">
        <v>1641</v>
      </c>
      <c r="N35" s="1095" t="s">
        <v>1710</v>
      </c>
      <c r="O35" s="1036">
        <f>ROUND(Table1[[#This Row],[Entry_AD_0]]*Table1[[#This Row],[Conv fact 2]],1)</f>
        <v>0</v>
      </c>
      <c r="P35" s="1036"/>
      <c r="Q35" s="703">
        <f>'Emission factors - list'!D$59</f>
        <v>1.63</v>
      </c>
      <c r="R35" s="703" t="str">
        <f>'Emission factors - list'!E$59</f>
        <v>kg CO2 / kg</v>
      </c>
      <c r="S35" s="961" t="b">
        <f t="shared" si="0"/>
        <v>1</v>
      </c>
      <c r="T35" s="816">
        <f t="shared" si="1"/>
        <v>0</v>
      </c>
      <c r="U35" s="816">
        <f>Table1[[#This Row],[Results 
(kg CO2-eq)]]/1000</f>
        <v>0</v>
      </c>
      <c r="V35" s="816">
        <f>IF(Table1[[#This Row],[Results incl. comp. (ton CO2-eq2]]&lt;0,Table1[[#This Row],[Results incl. comp. (ton CO2-eq2]],0)</f>
        <v>0</v>
      </c>
      <c r="W35" s="816">
        <f t="shared" si="2"/>
        <v>0</v>
      </c>
      <c r="X35" s="816">
        <f>Table1[[#This Row],[Results
(ton CO2-eq)]]</f>
        <v>0</v>
      </c>
    </row>
    <row r="36" spans="2:24">
      <c r="B36" s="1048" t="s">
        <v>1911</v>
      </c>
      <c r="C36" s="1048" t="s">
        <v>151</v>
      </c>
      <c r="D36" s="1048" t="s">
        <v>1003</v>
      </c>
      <c r="E36" s="962" t="s">
        <v>1157</v>
      </c>
      <c r="F36" s="814">
        <f>IF(E36="Direct",_xlfn.XLOOKUP(D36,'Input import'!B:B,'Input import'!D:D,""),_xlfn.XLOOKUP(D36,'Facilitatory data'!E:E,'Facilitatory data'!G:G,""))</f>
        <v>0</v>
      </c>
      <c r="G36" s="653" t="str">
        <f>IF(E36="Direct",_xlfn.XLOOKUP(D36,'Input import'!B:B,'Input import'!E:E,_xlfn.XLOOKUP(D36,'Input sheet format'!F:F,'Input sheet format'!I:I,"")),_xlfn.XLOOKUP(D36,'Facilitatory data'!E:E,'Facilitatory data'!H:H,""))</f>
        <v>Number of items</v>
      </c>
      <c r="H36" s="653">
        <v>1</v>
      </c>
      <c r="I36" s="653" t="s">
        <v>153</v>
      </c>
      <c r="J36" s="849">
        <f>'Emission factors - list'!D55</f>
        <v>0.191</v>
      </c>
      <c r="K36" s="962" t="s">
        <v>96</v>
      </c>
      <c r="L36" s="1034" t="s">
        <v>1653</v>
      </c>
      <c r="M36" s="1034" t="s">
        <v>1641</v>
      </c>
      <c r="N36" s="1095" t="s">
        <v>1710</v>
      </c>
      <c r="O36" s="1036">
        <f>ROUND(Table1[[#This Row],[Entry_AD_0]]*Table1[[#This Row],[Conv fact 2]],1)</f>
        <v>0</v>
      </c>
      <c r="P36" s="1036"/>
      <c r="Q36" s="703">
        <f>'Emission factors - list'!D$59</f>
        <v>1.63</v>
      </c>
      <c r="R36" s="703" t="str">
        <f>'Emission factors - list'!E$59</f>
        <v>kg CO2 / kg</v>
      </c>
      <c r="S36" s="961" t="b">
        <f t="shared" si="0"/>
        <v>1</v>
      </c>
      <c r="T36" s="816">
        <f t="shared" si="1"/>
        <v>0</v>
      </c>
      <c r="U36" s="816">
        <f>Table1[[#This Row],[Results 
(kg CO2-eq)]]/1000</f>
        <v>0</v>
      </c>
      <c r="V36" s="816">
        <f>IF(Table1[[#This Row],[Results incl. comp. (ton CO2-eq2]]&lt;0,Table1[[#This Row],[Results incl. comp. (ton CO2-eq2]],0)</f>
        <v>0</v>
      </c>
      <c r="W36" s="816">
        <f t="shared" si="2"/>
        <v>0</v>
      </c>
      <c r="X36" s="816">
        <f>Table1[[#This Row],[Results
(ton CO2-eq)]]</f>
        <v>0</v>
      </c>
    </row>
    <row r="37" spans="2:24">
      <c r="B37" s="1048" t="s">
        <v>1911</v>
      </c>
      <c r="C37" s="1048" t="s">
        <v>151</v>
      </c>
      <c r="D37" s="1048" t="s">
        <v>1004</v>
      </c>
      <c r="E37" s="653" t="s">
        <v>1157</v>
      </c>
      <c r="F37" s="814">
        <f>IF(E37="Direct",_xlfn.XLOOKUP(D37,'Input import'!B:B,'Input import'!D:D,""),_xlfn.XLOOKUP(D37,'Facilitatory data'!E:E,'Facilitatory data'!G:G,""))</f>
        <v>0</v>
      </c>
      <c r="G37" s="653" t="str">
        <f>IF(E37="Direct",_xlfn.XLOOKUP(D37,'Input import'!B:B,'Input import'!E:E,_xlfn.XLOOKUP(D37,'Input sheet format'!F:F,'Input sheet format'!I:I,"")),_xlfn.XLOOKUP(D37,'Facilitatory data'!E:E,'Facilitatory data'!H:H,""))</f>
        <v>Number of items</v>
      </c>
      <c r="H37" s="653">
        <v>1</v>
      </c>
      <c r="I37" s="963" t="s">
        <v>153</v>
      </c>
      <c r="J37" s="849">
        <f>'Emission factors - list'!D57</f>
        <v>7.0000000000000001E-3</v>
      </c>
      <c r="K37" s="962" t="s">
        <v>96</v>
      </c>
      <c r="L37" s="1034" t="s">
        <v>1653</v>
      </c>
      <c r="M37" s="962" t="s">
        <v>1641</v>
      </c>
      <c r="N37" s="1095" t="s">
        <v>1710</v>
      </c>
      <c r="O37" s="1036">
        <f>ROUND(Table1[[#This Row],[Entry_AD_0]]*Table1[[#This Row],[Conv fact 2]],1)</f>
        <v>0</v>
      </c>
      <c r="P37" s="1036"/>
      <c r="Q37" s="703">
        <f>'Emission factors - list'!D$59</f>
        <v>1.63</v>
      </c>
      <c r="R37" s="653" t="str">
        <f>'Emission factors - list'!E$59</f>
        <v>kg CO2 / kg</v>
      </c>
      <c r="S37" s="961" t="b">
        <f t="shared" ref="S37:S68" si="4">IFERROR(_xlfn.TEXTAFTER(R37,"/ ")=K37,"")</f>
        <v>1</v>
      </c>
      <c r="T37" s="816">
        <f t="shared" ref="T37:T68" si="5">IFERROR(F37*H37*J37*Q37,"Error")</f>
        <v>0</v>
      </c>
      <c r="U37" s="816">
        <f>Table1[[#This Row],[Results 
(kg CO2-eq)]]/1000</f>
        <v>0</v>
      </c>
      <c r="V37" s="816">
        <f>IF(Table1[[#This Row],[Results incl. comp. (ton CO2-eq2]]&lt;0,Table1[[#This Row],[Results incl. comp. (ton CO2-eq2]],0)</f>
        <v>0</v>
      </c>
      <c r="W37" s="816">
        <f t="shared" ref="W37:W68" si="6">IFERROR(F37*H37*J37*Q37,"Error")</f>
        <v>0</v>
      </c>
      <c r="X37" s="816">
        <f>Table1[[#This Row],[Results
(ton CO2-eq)]]</f>
        <v>0</v>
      </c>
    </row>
    <row r="38" spans="2:24">
      <c r="B38" s="1048" t="s">
        <v>1911</v>
      </c>
      <c r="C38" s="1048" t="s">
        <v>166</v>
      </c>
      <c r="D38" s="1048" t="s">
        <v>167</v>
      </c>
      <c r="E38" s="653" t="s">
        <v>1151</v>
      </c>
      <c r="F38" s="814">
        <f>IF(E38="Direct",_xlfn.XLOOKUP(D38,'Input import'!B:B,'Input import'!D:D,""),_xlfn.XLOOKUP(D38,'Facilitatory data'!E:E,'Facilitatory data'!G:G,""))</f>
        <v>0</v>
      </c>
      <c r="G38" s="653" t="str">
        <f>IF(E38="Direct",_xlfn.XLOOKUP(D38,'Input import'!B:B,'Input import'!E:E,_xlfn.XLOOKUP(D38,'Input sheet format'!F:F,'Input sheet format'!I:I,"")),_xlfn.XLOOKUP(D38,'Facilitatory data'!E:E,'Facilitatory data'!H:H,""))</f>
        <v>number of items</v>
      </c>
      <c r="H38" s="653">
        <v>1</v>
      </c>
      <c r="I38" s="963" t="s">
        <v>153</v>
      </c>
      <c r="J38" s="849">
        <f>'Emission factors - list'!$D$54</f>
        <v>7.1000000000000004E-3</v>
      </c>
      <c r="K38" s="962" t="s">
        <v>96</v>
      </c>
      <c r="L38" s="1034" t="s">
        <v>1653</v>
      </c>
      <c r="M38" s="1139" t="s">
        <v>1909</v>
      </c>
      <c r="N38" s="1139" t="s">
        <v>1652</v>
      </c>
      <c r="O38" s="1036">
        <f>ROUND(Table1[[#This Row],[Entry_AD_0]]*Table1[[#This Row],[Conv fact 2]],1)</f>
        <v>0</v>
      </c>
      <c r="P38" s="1036"/>
      <c r="Q38" s="703">
        <f>'Emission factors - list'!D$59</f>
        <v>1.63</v>
      </c>
      <c r="R38" s="653" t="str">
        <f>'Emission factors - list'!E$59</f>
        <v>kg CO2 / kg</v>
      </c>
      <c r="S38" s="961" t="b">
        <f t="shared" si="4"/>
        <v>1</v>
      </c>
      <c r="T38" s="816">
        <f t="shared" si="5"/>
        <v>0</v>
      </c>
      <c r="U38" s="816">
        <f>Table1[[#This Row],[Results 
(kg CO2-eq)]]/1000</f>
        <v>0</v>
      </c>
      <c r="V38" s="816">
        <f>IF(Table1[[#This Row],[Results incl. comp. (ton CO2-eq2]]&lt;0,Table1[[#This Row],[Results incl. comp. (ton CO2-eq2]],0)</f>
        <v>0</v>
      </c>
      <c r="W38" s="816">
        <f t="shared" si="6"/>
        <v>0</v>
      </c>
      <c r="X38" s="816">
        <f>Table1[[#This Row],[Results
(ton CO2-eq)]]</f>
        <v>0</v>
      </c>
    </row>
    <row r="39" spans="2:24">
      <c r="B39" s="1048" t="s">
        <v>1911</v>
      </c>
      <c r="C39" s="1048" t="s">
        <v>166</v>
      </c>
      <c r="D39" s="1048" t="s">
        <v>169</v>
      </c>
      <c r="E39" s="653" t="s">
        <v>1151</v>
      </c>
      <c r="F39" s="814">
        <f>IF(E39="Direct",_xlfn.XLOOKUP(D39,'Input import'!B:B,'Input import'!D:D,""),_xlfn.XLOOKUP(D39,'Facilitatory data'!E:E,'Facilitatory data'!G:G,""))</f>
        <v>0</v>
      </c>
      <c r="G39" s="653" t="str">
        <f>IF(E39="Direct",_xlfn.XLOOKUP(D39,'Input import'!B:B,'Input import'!E:E,_xlfn.XLOOKUP(D39,'Input sheet format'!F:F,'Input sheet format'!I:I,"")),_xlfn.XLOOKUP(D39,'Facilitatory data'!E:E,'Facilitatory data'!H:H,""))</f>
        <v>number of items</v>
      </c>
      <c r="H39" s="653">
        <v>1</v>
      </c>
      <c r="I39" s="963" t="s">
        <v>153</v>
      </c>
      <c r="J39" s="849">
        <f>'Emission factors - list'!$D$54</f>
        <v>7.1000000000000004E-3</v>
      </c>
      <c r="K39" s="962" t="s">
        <v>96</v>
      </c>
      <c r="L39" s="1034" t="s">
        <v>1653</v>
      </c>
      <c r="M39" s="1139" t="s">
        <v>1909</v>
      </c>
      <c r="N39" s="1139" t="s">
        <v>1910</v>
      </c>
      <c r="O39" s="1036">
        <f>ROUND(Table1[[#This Row],[Entry_AD_0]]*Table1[[#This Row],[Conv fact 2]],1)</f>
        <v>0</v>
      </c>
      <c r="P39" s="1036"/>
      <c r="Q39" s="703">
        <f>'Emission factors - list'!D$59</f>
        <v>1.63</v>
      </c>
      <c r="R39" s="653" t="str">
        <f>'Emission factors - list'!E$59</f>
        <v>kg CO2 / kg</v>
      </c>
      <c r="S39" s="961" t="b">
        <f t="shared" si="4"/>
        <v>1</v>
      </c>
      <c r="T39" s="816">
        <f t="shared" si="5"/>
        <v>0</v>
      </c>
      <c r="U39" s="816">
        <f>Table1[[#This Row],[Results 
(kg CO2-eq)]]/1000</f>
        <v>0</v>
      </c>
      <c r="V39" s="816">
        <f>IF(Table1[[#This Row],[Results incl. comp. (ton CO2-eq2]]&lt;0,Table1[[#This Row],[Results incl. comp. (ton CO2-eq2]],0)</f>
        <v>0</v>
      </c>
      <c r="W39" s="816">
        <f t="shared" si="6"/>
        <v>0</v>
      </c>
      <c r="X39" s="816">
        <f>Table1[[#This Row],[Results
(ton CO2-eq)]]</f>
        <v>0</v>
      </c>
    </row>
    <row r="40" spans="2:24">
      <c r="B40" s="1048" t="s">
        <v>1911</v>
      </c>
      <c r="C40" s="1048" t="s">
        <v>166</v>
      </c>
      <c r="D40" s="1048" t="s">
        <v>173</v>
      </c>
      <c r="E40" s="653" t="s">
        <v>1151</v>
      </c>
      <c r="F40" s="814">
        <f>IF(E40="Direct",_xlfn.XLOOKUP(D40,'Input import'!B:B,'Input import'!D:D,""),_xlfn.XLOOKUP(D40,'Facilitatory data'!E:E,'Facilitatory data'!G:G,""))</f>
        <v>0</v>
      </c>
      <c r="G40" s="653" t="str">
        <f>IF(E40="Direct",_xlfn.XLOOKUP(D40,'Input import'!B:B,'Input import'!E:E,_xlfn.XLOOKUP(D40,'Input sheet format'!F:F,'Input sheet format'!I:I,"")),_xlfn.XLOOKUP(D40,'Facilitatory data'!E:E,'Facilitatory data'!H:H,""))</f>
        <v>number of items</v>
      </c>
      <c r="H40" s="653">
        <f>'Emission factors - list'!D$56</f>
        <v>9.2999999999999992E-3</v>
      </c>
      <c r="I40" s="963" t="s">
        <v>96</v>
      </c>
      <c r="J40" s="849">
        <f>1/1000</f>
        <v>1E-3</v>
      </c>
      <c r="K40" s="962" t="s">
        <v>1156</v>
      </c>
      <c r="L40" s="1034" t="s">
        <v>1653</v>
      </c>
      <c r="M40" s="1139" t="s">
        <v>1909</v>
      </c>
      <c r="N40" s="1139" t="s">
        <v>1652</v>
      </c>
      <c r="O40" s="1036">
        <f>ROUND(Table1[[#This Row],[Entry_AD_0]]*Table1[[#This Row],[Conv fact 1]],1)</f>
        <v>0</v>
      </c>
      <c r="P40" s="1036"/>
      <c r="Q40" s="703">
        <f>'Emission factors - list'!D$38</f>
        <v>741</v>
      </c>
      <c r="R40" s="653" t="str">
        <f>'Emission factors - list'!E$38</f>
        <v>kg CO2-eq / tonne</v>
      </c>
      <c r="S40" s="961" t="b">
        <f t="shared" si="4"/>
        <v>1</v>
      </c>
      <c r="T40" s="816">
        <f t="shared" si="5"/>
        <v>0</v>
      </c>
      <c r="U40" s="816">
        <f>Table1[[#This Row],[Results 
(kg CO2-eq)]]/1000</f>
        <v>0</v>
      </c>
      <c r="V40" s="816">
        <f>IF(Table1[[#This Row],[Results incl. comp. (ton CO2-eq2]]&lt;0,Table1[[#This Row],[Results incl. comp. (ton CO2-eq2]],0)</f>
        <v>0</v>
      </c>
      <c r="W40" s="816">
        <f t="shared" si="6"/>
        <v>0</v>
      </c>
      <c r="X40" s="816">
        <f>Table1[[#This Row],[Results
(ton CO2-eq)]]</f>
        <v>0</v>
      </c>
    </row>
    <row r="41" spans="2:24">
      <c r="B41" s="1048" t="s">
        <v>1911</v>
      </c>
      <c r="C41" s="1048" t="s">
        <v>166</v>
      </c>
      <c r="D41" s="1048" t="s">
        <v>175</v>
      </c>
      <c r="E41" s="653" t="s">
        <v>1151</v>
      </c>
      <c r="F41" s="814">
        <f>IF(E41="Direct",_xlfn.XLOOKUP(D41,'Input import'!B:B,'Input import'!D:D,""),_xlfn.XLOOKUP(D41,'Facilitatory data'!E:E,'Facilitatory data'!G:G,""))</f>
        <v>0</v>
      </c>
      <c r="G41" s="653" t="str">
        <f>IF(E41="Direct",_xlfn.XLOOKUP(D41,'Input import'!B:B,'Input import'!E:E,_xlfn.XLOOKUP(D41,'Input sheet format'!F:F,'Input sheet format'!I:I,"")),_xlfn.XLOOKUP(D41,'Facilitatory data'!E:E,'Facilitatory data'!H:H,""))</f>
        <v>number of items</v>
      </c>
      <c r="H41" s="653">
        <f>'Emission factors - list'!D$56</f>
        <v>9.2999999999999992E-3</v>
      </c>
      <c r="I41" s="963" t="s">
        <v>96</v>
      </c>
      <c r="J41" s="849">
        <f>1/1000</f>
        <v>1E-3</v>
      </c>
      <c r="K41" s="962" t="s">
        <v>1156</v>
      </c>
      <c r="L41" s="1034" t="s">
        <v>1653</v>
      </c>
      <c r="M41" s="1139" t="s">
        <v>1909</v>
      </c>
      <c r="N41" s="1139" t="s">
        <v>1910</v>
      </c>
      <c r="O41" s="1036">
        <f>ROUND(Table1[[#This Row],[Entry_AD_0]]*Table1[[#This Row],[Conv fact 1]],1)</f>
        <v>0</v>
      </c>
      <c r="P41" s="1036"/>
      <c r="Q41" s="703">
        <f>'Emission factors - list'!D$38</f>
        <v>741</v>
      </c>
      <c r="R41" s="653" t="str">
        <f>'Emission factors - list'!E$38</f>
        <v>kg CO2-eq / tonne</v>
      </c>
      <c r="S41" s="961" t="b">
        <f t="shared" si="4"/>
        <v>1</v>
      </c>
      <c r="T41" s="816">
        <f t="shared" si="5"/>
        <v>0</v>
      </c>
      <c r="U41" s="816">
        <f>Table1[[#This Row],[Results 
(kg CO2-eq)]]/1000</f>
        <v>0</v>
      </c>
      <c r="V41" s="816">
        <f>IF(Table1[[#This Row],[Results incl. comp. (ton CO2-eq2]]&lt;0,Table1[[#This Row],[Results incl. comp. (ton CO2-eq2]],0)</f>
        <v>0</v>
      </c>
      <c r="W41" s="816">
        <f t="shared" si="6"/>
        <v>0</v>
      </c>
      <c r="X41" s="816">
        <f>Table1[[#This Row],[Results
(ton CO2-eq)]]</f>
        <v>0</v>
      </c>
    </row>
    <row r="42" spans="2:24">
      <c r="B42" s="1048" t="s">
        <v>1911</v>
      </c>
      <c r="C42" s="1048" t="s">
        <v>166</v>
      </c>
      <c r="D42" s="1048" t="s">
        <v>179</v>
      </c>
      <c r="E42" s="653" t="s">
        <v>1151</v>
      </c>
      <c r="F42" s="814">
        <f>IF(E42="Direct",_xlfn.XLOOKUP(D42,'Input import'!B:B,'Input import'!D:D,""),_xlfn.XLOOKUP(D42,'Facilitatory data'!E:E,'Facilitatory data'!G:G,""))</f>
        <v>0</v>
      </c>
      <c r="G42" s="653" t="str">
        <f>IF(E42="Direct",_xlfn.XLOOKUP(D42,'Input import'!B:B,'Input import'!E:E,_xlfn.XLOOKUP(D42,'Input sheet format'!F:F,'Input sheet format'!I:I,"")),_xlfn.XLOOKUP(D42,'Facilitatory data'!E:E,'Facilitatory data'!H:H,""))</f>
        <v>number of items</v>
      </c>
      <c r="H42" s="653">
        <v>1</v>
      </c>
      <c r="I42" s="963" t="s">
        <v>153</v>
      </c>
      <c r="J42" s="849">
        <v>1</v>
      </c>
      <c r="K42" s="962" t="s">
        <v>1158</v>
      </c>
      <c r="L42" s="1034" t="s">
        <v>1653</v>
      </c>
      <c r="M42" s="1139" t="s">
        <v>1909</v>
      </c>
      <c r="N42" s="1139" t="s">
        <v>1652</v>
      </c>
      <c r="O42" s="1036">
        <f>ROUND(Table1[[#This Row],[Entry_AD_0]]*'Emission factors - list'!$D$58,1)</f>
        <v>0</v>
      </c>
      <c r="P42" s="1036"/>
      <c r="Q42" s="703">
        <f>'Emission factors - list'!D61</f>
        <v>0.03</v>
      </c>
      <c r="R42" s="653" t="str">
        <f>'Emission factors - list'!E61</f>
        <v>kg CO2 / item</v>
      </c>
      <c r="S42" s="961" t="b">
        <f t="shared" si="4"/>
        <v>1</v>
      </c>
      <c r="T42" s="816">
        <f t="shared" si="5"/>
        <v>0</v>
      </c>
      <c r="U42" s="816">
        <f>Table1[[#This Row],[Results 
(kg CO2-eq)]]/1000</f>
        <v>0</v>
      </c>
      <c r="V42" s="816">
        <f>IF(Table1[[#This Row],[Results incl. comp. (ton CO2-eq2]]&lt;0,Table1[[#This Row],[Results incl. comp. (ton CO2-eq2]],0)</f>
        <v>0</v>
      </c>
      <c r="W42" s="816">
        <f t="shared" si="6"/>
        <v>0</v>
      </c>
      <c r="X42" s="816">
        <f>Table1[[#This Row],[Results
(ton CO2-eq)]]</f>
        <v>0</v>
      </c>
    </row>
    <row r="43" spans="2:24">
      <c r="B43" s="1048" t="s">
        <v>1911</v>
      </c>
      <c r="C43" s="1048" t="s">
        <v>166</v>
      </c>
      <c r="D43" s="1048" t="s">
        <v>181</v>
      </c>
      <c r="E43" s="653" t="s">
        <v>1151</v>
      </c>
      <c r="F43" s="814">
        <f>IF(E43="Direct",_xlfn.XLOOKUP(D43,'Input import'!B:B,'Input import'!D:D,""),_xlfn.XLOOKUP(D43,'Facilitatory data'!E:E,'Facilitatory data'!G:G,""))</f>
        <v>0</v>
      </c>
      <c r="G43" s="653" t="str">
        <f>IF(E43="Direct",_xlfn.XLOOKUP(D43,'Input import'!B:B,'Input import'!E:E,_xlfn.XLOOKUP(D43,'Input sheet format'!F:F,'Input sheet format'!I:I,"")),_xlfn.XLOOKUP(D43,'Facilitatory data'!E:E,'Facilitatory data'!H:H,""))</f>
        <v>number of items</v>
      </c>
      <c r="H43" s="653">
        <v>1</v>
      </c>
      <c r="I43" s="963" t="s">
        <v>153</v>
      </c>
      <c r="J43" s="849">
        <v>1</v>
      </c>
      <c r="K43" s="962" t="s">
        <v>1158</v>
      </c>
      <c r="L43" s="1034" t="s">
        <v>1653</v>
      </c>
      <c r="M43" s="1139" t="s">
        <v>1909</v>
      </c>
      <c r="N43" s="1139" t="s">
        <v>1910</v>
      </c>
      <c r="O43" s="1036">
        <f>ROUND(Table1[[#This Row],[Entry_AD_0]]*'Emission factors - list'!$D$58,1)</f>
        <v>0</v>
      </c>
      <c r="P43" s="1036"/>
      <c r="Q43" s="703">
        <f>'Emission factors - list'!D61</f>
        <v>0.03</v>
      </c>
      <c r="R43" s="653" t="str">
        <f>'Emission factors - list'!E61</f>
        <v>kg CO2 / item</v>
      </c>
      <c r="S43" s="961" t="b">
        <f t="shared" si="4"/>
        <v>1</v>
      </c>
      <c r="T43" s="816">
        <f t="shared" si="5"/>
        <v>0</v>
      </c>
      <c r="U43" s="816">
        <f>Table1[[#This Row],[Results 
(kg CO2-eq)]]/1000</f>
        <v>0</v>
      </c>
      <c r="V43" s="816">
        <f>IF(Table1[[#This Row],[Results incl. comp. (ton CO2-eq2]]&lt;0,Table1[[#This Row],[Results incl. comp. (ton CO2-eq2]],0)</f>
        <v>0</v>
      </c>
      <c r="W43" s="816">
        <f t="shared" si="6"/>
        <v>0</v>
      </c>
      <c r="X43" s="816">
        <f>Table1[[#This Row],[Results
(ton CO2-eq)]]</f>
        <v>0</v>
      </c>
    </row>
    <row r="44" spans="2:24">
      <c r="B44" s="1048" t="s">
        <v>1912</v>
      </c>
      <c r="C44" s="1048" t="s">
        <v>185</v>
      </c>
      <c r="D44" s="1048" t="s">
        <v>187</v>
      </c>
      <c r="E44" s="653" t="s">
        <v>1151</v>
      </c>
      <c r="F44" s="814">
        <f>IF(E44="Direct",_xlfn.XLOOKUP(D44,'Input import'!B:B,'Input import'!D:D,""),_xlfn.XLOOKUP(D44,'Facilitatory data'!E:E,'Facilitatory data'!G:G,""))</f>
        <v>0</v>
      </c>
      <c r="G44" s="653" t="str">
        <f>IF(E44="Direct",_xlfn.XLOOKUP(D44,'Input import'!B:B,'Input import'!E:E,_xlfn.XLOOKUP(D44,'Input sheet format'!F:F,'Input sheet format'!I:I,"")),_xlfn.XLOOKUP(D44,'Facilitatory data'!E:E,'Facilitatory data'!H:H,""))</f>
        <v>kg</v>
      </c>
      <c r="H44" s="653">
        <v>1</v>
      </c>
      <c r="I44" s="963" t="s">
        <v>96</v>
      </c>
      <c r="J44" s="849">
        <f t="shared" ref="J44:J49" si="7">1/1000</f>
        <v>1E-3</v>
      </c>
      <c r="K44" s="962" t="s">
        <v>1159</v>
      </c>
      <c r="L44" s="1034" t="str">
        <f>_xlfn.TEXTBEFORE(Table1[[#This Row],[Fill-out indicator]]," ")</f>
        <v>Paper/cardboard</v>
      </c>
      <c r="M44" s="962" t="s">
        <v>1649</v>
      </c>
      <c r="N44" s="1095" t="s">
        <v>1711</v>
      </c>
      <c r="O44" s="1036">
        <f>ROUND(Table1[[#This Row],[Entry_AD_0]],1)</f>
        <v>0</v>
      </c>
      <c r="P44" s="1036"/>
      <c r="Q44" s="703">
        <f>'Emission factors - list'!D40</f>
        <v>73.195398533887044</v>
      </c>
      <c r="R44" s="653" t="str">
        <f>'Emission factors - list'!E40</f>
        <v>kg CO2-eq / tonne</v>
      </c>
      <c r="S44" s="961" t="b">
        <f t="shared" si="4"/>
        <v>0</v>
      </c>
      <c r="T44" s="816">
        <f t="shared" si="5"/>
        <v>0</v>
      </c>
      <c r="U44" s="816">
        <f>Table1[[#This Row],[Results 
(kg CO2-eq)]]/1000</f>
        <v>0</v>
      </c>
      <c r="V44" s="816">
        <f>IF(Table1[[#This Row],[Results incl. comp. (ton CO2-eq2]]&lt;0,Table1[[#This Row],[Results incl. comp. (ton CO2-eq2]],0)</f>
        <v>0</v>
      </c>
      <c r="W44" s="816">
        <f t="shared" si="6"/>
        <v>0</v>
      </c>
      <c r="X44" s="816">
        <f>Table1[[#This Row],[Results
(ton CO2-eq)]]</f>
        <v>0</v>
      </c>
    </row>
    <row r="45" spans="2:24">
      <c r="B45" s="1048" t="s">
        <v>1912</v>
      </c>
      <c r="C45" s="1048" t="s">
        <v>185</v>
      </c>
      <c r="D45" s="1048" t="s">
        <v>189</v>
      </c>
      <c r="E45" s="653" t="s">
        <v>1151</v>
      </c>
      <c r="F45" s="814">
        <f>IF(E45="Direct",_xlfn.XLOOKUP(D45,'Input import'!B:B,'Input import'!D:D,""),_xlfn.XLOOKUP(D45,'Facilitatory data'!E:E,'Facilitatory data'!G:G,""))</f>
        <v>0</v>
      </c>
      <c r="G45" s="653" t="str">
        <f>IF(E45="Direct",_xlfn.XLOOKUP(D45,'Input import'!B:B,'Input import'!E:E,_xlfn.XLOOKUP(D45,'Input sheet format'!F:F,'Input sheet format'!I:I,"")),_xlfn.XLOOKUP(D45,'Facilitatory data'!E:E,'Facilitatory data'!H:H,""))</f>
        <v>kg</v>
      </c>
      <c r="H45" s="653">
        <v>1</v>
      </c>
      <c r="I45" s="963" t="s">
        <v>96</v>
      </c>
      <c r="J45" s="849">
        <f t="shared" si="7"/>
        <v>1E-3</v>
      </c>
      <c r="K45" s="962" t="s">
        <v>1159</v>
      </c>
      <c r="L45" s="1034" t="str">
        <f>_xlfn.TEXTBEFORE(Table1[[#This Row],[Fill-out indicator]]," ")</f>
        <v>Glass</v>
      </c>
      <c r="M45" s="962" t="s">
        <v>1649</v>
      </c>
      <c r="N45" s="1095" t="s">
        <v>1711</v>
      </c>
      <c r="O45" s="1036">
        <f>ROUND(Table1[[#This Row],[Entry_AD_0]],1)</f>
        <v>0</v>
      </c>
      <c r="P45" s="1036"/>
      <c r="Q45" s="703">
        <f>'Emission factors - list'!D41</f>
        <v>19.297758684414148</v>
      </c>
      <c r="R45" s="653" t="str">
        <f>'Emission factors - list'!E41</f>
        <v>kg CO2-eq / tonne</v>
      </c>
      <c r="S45" s="961" t="b">
        <f t="shared" si="4"/>
        <v>0</v>
      </c>
      <c r="T45" s="816">
        <f t="shared" si="5"/>
        <v>0</v>
      </c>
      <c r="U45" s="816">
        <f>Table1[[#This Row],[Results 
(kg CO2-eq)]]/1000</f>
        <v>0</v>
      </c>
      <c r="V45" s="816">
        <f>IF(Table1[[#This Row],[Results incl. comp. (ton CO2-eq2]]&lt;0,Table1[[#This Row],[Results incl. comp. (ton CO2-eq2]],0)</f>
        <v>0</v>
      </c>
      <c r="W45" s="816">
        <f t="shared" si="6"/>
        <v>0</v>
      </c>
      <c r="X45" s="816">
        <f>Table1[[#This Row],[Results
(ton CO2-eq)]]</f>
        <v>0</v>
      </c>
    </row>
    <row r="46" spans="2:24">
      <c r="B46" s="1048" t="s">
        <v>1912</v>
      </c>
      <c r="C46" s="1048" t="s">
        <v>185</v>
      </c>
      <c r="D46" s="1048" t="s">
        <v>193</v>
      </c>
      <c r="E46" s="653" t="s">
        <v>1157</v>
      </c>
      <c r="F46" s="814">
        <f>IF(E46="Direct",_xlfn.XLOOKUP(D46,'Input import'!B:B,'Input import'!D:D,""),_xlfn.XLOOKUP(D46,'Facilitatory data'!E:E,'Facilitatory data'!G:G,""))</f>
        <v>0</v>
      </c>
      <c r="G46" s="653" t="str">
        <f>IF(E46="Direct",_xlfn.XLOOKUP(D46,'Input import'!B:B,'Input import'!E:E,_xlfn.XLOOKUP(D46,'Input sheet format'!F:F,'Input sheet format'!I:I,"")),_xlfn.XLOOKUP(D46,'Facilitatory data'!E:E,'Facilitatory data'!H:H,""))</f>
        <v>kg</v>
      </c>
      <c r="H46" s="653">
        <v>1</v>
      </c>
      <c r="I46" s="1139" t="s">
        <v>96</v>
      </c>
      <c r="J46" s="849">
        <f t="shared" si="7"/>
        <v>1E-3</v>
      </c>
      <c r="K46" s="962" t="s">
        <v>1159</v>
      </c>
      <c r="L46" s="1034" t="str">
        <f>_xlfn.TEXTBEFORE(Table1[[#This Row],[Fill-out indicator]]," ")</f>
        <v>Plastic</v>
      </c>
      <c r="M46" s="962" t="s">
        <v>1649</v>
      </c>
      <c r="N46" s="1095" t="s">
        <v>1711</v>
      </c>
      <c r="O46" s="1036">
        <f>ROUND(Table1[[#This Row],[Entry_AD_0]],1)</f>
        <v>0</v>
      </c>
      <c r="P46" s="1036"/>
      <c r="Q46" s="703">
        <f>'Emission factors - list'!$D$42</f>
        <v>270.73866410599408</v>
      </c>
      <c r="R46" s="653" t="s">
        <v>1160</v>
      </c>
      <c r="S46" s="961" t="b">
        <f t="shared" si="4"/>
        <v>1</v>
      </c>
      <c r="T46" s="816">
        <f t="shared" si="5"/>
        <v>0</v>
      </c>
      <c r="U46" s="816">
        <f>Table1[[#This Row],[Results 
(kg CO2-eq)]]/1000</f>
        <v>0</v>
      </c>
      <c r="V46" s="816">
        <f>IF(Table1[[#This Row],[Results incl. comp. (ton CO2-eq2]]&lt;0,Table1[[#This Row],[Results incl. comp. (ton CO2-eq2]],0)</f>
        <v>0</v>
      </c>
      <c r="W46" s="816">
        <f t="shared" si="6"/>
        <v>0</v>
      </c>
      <c r="X46" s="816">
        <f>Table1[[#This Row],[Results
(ton CO2-eq)]]</f>
        <v>0</v>
      </c>
    </row>
    <row r="47" spans="2:24">
      <c r="B47" s="1048" t="s">
        <v>1912</v>
      </c>
      <c r="C47" s="1048" t="s">
        <v>185</v>
      </c>
      <c r="D47" s="1048" t="s">
        <v>195</v>
      </c>
      <c r="E47" s="653" t="s">
        <v>1151</v>
      </c>
      <c r="F47" s="814">
        <f>IF(E47="Direct",_xlfn.XLOOKUP(D47,'Input import'!B:B,'Input import'!D:D,""),_xlfn.XLOOKUP(D47,'Facilitatory data'!E:E,'Facilitatory data'!G:G,""))</f>
        <v>0</v>
      </c>
      <c r="G47" s="653" t="str">
        <f>IF(E47="Direct",_xlfn.XLOOKUP(D47,'Input import'!B:B,'Input import'!E:E,_xlfn.XLOOKUP(D47,'Input sheet format'!F:F,'Input sheet format'!I:I,"")),_xlfn.XLOOKUP(D47,'Facilitatory data'!E:E,'Facilitatory data'!H:H,""))</f>
        <v>kg</v>
      </c>
      <c r="H47" s="653">
        <v>1</v>
      </c>
      <c r="I47" s="963" t="s">
        <v>96</v>
      </c>
      <c r="J47" s="849">
        <f t="shared" si="7"/>
        <v>1E-3</v>
      </c>
      <c r="K47" s="962" t="s">
        <v>1159</v>
      </c>
      <c r="L47" s="1034" t="str">
        <f>_xlfn.TEXTBEFORE(Table1[[#This Row],[Fill-out indicator]]," ")</f>
        <v>Aluminum</v>
      </c>
      <c r="M47" s="962" t="s">
        <v>1649</v>
      </c>
      <c r="N47" s="1095" t="s">
        <v>1711</v>
      </c>
      <c r="O47" s="1036">
        <f>ROUND(Table1[[#This Row],[Entry_AD_0]],1)</f>
        <v>0</v>
      </c>
      <c r="P47" s="1036"/>
      <c r="Q47" s="703">
        <f>'Emission factors - list'!D43</f>
        <v>31.566472249180947</v>
      </c>
      <c r="R47" s="653" t="str">
        <f>'Emission factors - list'!E43</f>
        <v>kg CO2-eq / tonne</v>
      </c>
      <c r="S47" s="961" t="b">
        <f t="shared" si="4"/>
        <v>0</v>
      </c>
      <c r="T47" s="816">
        <f t="shared" si="5"/>
        <v>0</v>
      </c>
      <c r="U47" s="816">
        <f>Table1[[#This Row],[Results 
(kg CO2-eq)]]/1000</f>
        <v>0</v>
      </c>
      <c r="V47" s="816">
        <f>IF(Table1[[#This Row],[Results incl. comp. (ton CO2-eq2]]&lt;0,Table1[[#This Row],[Results incl. comp. (ton CO2-eq2]],0)</f>
        <v>0</v>
      </c>
      <c r="W47" s="816">
        <f t="shared" si="6"/>
        <v>0</v>
      </c>
      <c r="X47" s="816">
        <f>Table1[[#This Row],[Results
(ton CO2-eq)]]</f>
        <v>0</v>
      </c>
    </row>
    <row r="48" spans="2:24">
      <c r="B48" s="1048" t="s">
        <v>1912</v>
      </c>
      <c r="C48" s="1048" t="s">
        <v>185</v>
      </c>
      <c r="D48" s="1048" t="s">
        <v>197</v>
      </c>
      <c r="E48" s="653" t="s">
        <v>1157</v>
      </c>
      <c r="F48" s="814">
        <f>IF(E48="Direct",_xlfn.XLOOKUP(D48,'Input import'!B:B,'Input import'!D:D,""),_xlfn.XLOOKUP(D48,'Facilitatory data'!E:E,'Facilitatory data'!G:G,""))</f>
        <v>0</v>
      </c>
      <c r="G48" s="653" t="str">
        <f>IF(E48="Direct",_xlfn.XLOOKUP(D48,'Input import'!B:B,'Input import'!E:E,_xlfn.XLOOKUP(D48,'Input sheet format'!F:F,'Input sheet format'!I:I,"")),_xlfn.XLOOKUP(D48,'Facilitatory data'!E:E,'Facilitatory data'!H:H,""))</f>
        <v>kg</v>
      </c>
      <c r="H48" s="653">
        <v>1</v>
      </c>
      <c r="I48" s="1139" t="s">
        <v>96</v>
      </c>
      <c r="J48" s="849">
        <f t="shared" si="7"/>
        <v>1E-3</v>
      </c>
      <c r="K48" s="962" t="s">
        <v>1159</v>
      </c>
      <c r="L48" s="1034" t="str">
        <f>_xlfn.TEXTBEFORE(Table1[[#This Row],[Fill-out indicator]]," ")</f>
        <v>Metals</v>
      </c>
      <c r="M48" s="962" t="s">
        <v>1649</v>
      </c>
      <c r="N48" s="1095" t="s">
        <v>1711</v>
      </c>
      <c r="O48" s="1036">
        <f>ROUND(Table1[[#This Row],[Entry_AD_0]],1)</f>
        <v>0</v>
      </c>
      <c r="P48" s="1036"/>
      <c r="Q48" s="703">
        <f>'Emission factors - list'!$D$44</f>
        <v>38.519506459634648</v>
      </c>
      <c r="R48" s="653" t="s">
        <v>1160</v>
      </c>
      <c r="S48" s="961" t="b">
        <f t="shared" si="4"/>
        <v>1</v>
      </c>
      <c r="T48" s="816">
        <f t="shared" si="5"/>
        <v>0</v>
      </c>
      <c r="U48" s="816">
        <f>Table1[[#This Row],[Results 
(kg CO2-eq)]]/1000</f>
        <v>0</v>
      </c>
      <c r="V48" s="816">
        <f>IF(Table1[[#This Row],[Results incl. comp. (ton CO2-eq2]]&lt;0,Table1[[#This Row],[Results incl. comp. (ton CO2-eq2]],0)</f>
        <v>0</v>
      </c>
      <c r="W48" s="816">
        <f t="shared" si="6"/>
        <v>0</v>
      </c>
      <c r="X48" s="816">
        <f>Table1[[#This Row],[Results
(ton CO2-eq)]]</f>
        <v>0</v>
      </c>
    </row>
    <row r="49" spans="2:24">
      <c r="B49" s="1048" t="s">
        <v>1912</v>
      </c>
      <c r="C49" s="1048" t="s">
        <v>185</v>
      </c>
      <c r="D49" s="1048" t="s">
        <v>199</v>
      </c>
      <c r="E49" s="653" t="s">
        <v>1151</v>
      </c>
      <c r="F49" s="814">
        <f>IF(E49="Direct",_xlfn.XLOOKUP(D49,'Input import'!B:B,'Input import'!D:D,""),_xlfn.XLOOKUP(D49,'Facilitatory data'!E:E,'Facilitatory data'!G:G,""))</f>
        <v>0</v>
      </c>
      <c r="G49" s="653" t="str">
        <f>IF(E49="Direct",_xlfn.XLOOKUP(D49,'Input import'!B:B,'Input import'!E:E,_xlfn.XLOOKUP(D49,'Input sheet format'!F:F,'Input sheet format'!I:I,"")),_xlfn.XLOOKUP(D49,'Facilitatory data'!E:E,'Facilitatory data'!H:H,""))</f>
        <v>kg</v>
      </c>
      <c r="H49" s="653">
        <v>1</v>
      </c>
      <c r="I49" s="963" t="s">
        <v>96</v>
      </c>
      <c r="J49" s="849">
        <f t="shared" si="7"/>
        <v>1E-3</v>
      </c>
      <c r="K49" s="962" t="s">
        <v>1159</v>
      </c>
      <c r="L49" s="1034" t="s">
        <v>1643</v>
      </c>
      <c r="M49" s="962" t="s">
        <v>1649</v>
      </c>
      <c r="N49" s="1095" t="s">
        <v>1711</v>
      </c>
      <c r="O49" s="1036">
        <f>ROUND(Table1[[#This Row],[Entry_AD_0]],1)</f>
        <v>0</v>
      </c>
      <c r="P49" s="1036"/>
      <c r="Q49" s="703">
        <f>'Emission factors - list'!D45</f>
        <v>32.354123436003199</v>
      </c>
      <c r="R49" s="653" t="str">
        <f>'Emission factors - list'!E45</f>
        <v>kg CO2-eq / tonne</v>
      </c>
      <c r="S49" s="961" t="b">
        <f t="shared" si="4"/>
        <v>0</v>
      </c>
      <c r="T49" s="816">
        <f t="shared" si="5"/>
        <v>0</v>
      </c>
      <c r="U49" s="816">
        <f>Table1[[#This Row],[Results 
(kg CO2-eq)]]/1000</f>
        <v>0</v>
      </c>
      <c r="V49" s="816">
        <f>IF(Table1[[#This Row],[Results incl. comp. (ton CO2-eq2]]&lt;0,Table1[[#This Row],[Results incl. comp. (ton CO2-eq2]],0)</f>
        <v>0</v>
      </c>
      <c r="W49" s="816">
        <f t="shared" si="6"/>
        <v>0</v>
      </c>
      <c r="X49" s="816">
        <f>Table1[[#This Row],[Results
(ton CO2-eq)]]</f>
        <v>0</v>
      </c>
    </row>
    <row r="50" spans="2:24">
      <c r="B50" s="1048" t="s">
        <v>1912</v>
      </c>
      <c r="C50" s="1048" t="s">
        <v>185</v>
      </c>
      <c r="D50" s="1048" t="s">
        <v>201</v>
      </c>
      <c r="E50" s="653" t="s">
        <v>1151</v>
      </c>
      <c r="F50" s="814">
        <f>IF(E50="Direct",_xlfn.XLOOKUP(D50,'Input import'!B:B,'Input import'!D:D,""),_xlfn.XLOOKUP(D50,'Facilitatory data'!E:E,'Facilitatory data'!G:G,""))</f>
        <v>0</v>
      </c>
      <c r="G50" s="653" t="str">
        <f>IF(E50="Direct",_xlfn.XLOOKUP(D50,'Input import'!B:B,'Input import'!E:E,_xlfn.XLOOKUP(D50,'Input sheet format'!F:F,'Input sheet format'!I:I,"")),_xlfn.XLOOKUP(D50,'Facilitatory data'!E:E,'Facilitatory data'!H:H,""))</f>
        <v>litres</v>
      </c>
      <c r="H50" s="653">
        <v>1</v>
      </c>
      <c r="I50" s="1139" t="s">
        <v>91</v>
      </c>
      <c r="J50" s="1140">
        <f>0.87/1000</f>
        <v>8.7000000000000001E-4</v>
      </c>
      <c r="K50" s="962" t="s">
        <v>1159</v>
      </c>
      <c r="L50" s="1034" t="s">
        <v>1642</v>
      </c>
      <c r="M50" s="962" t="s">
        <v>1649</v>
      </c>
      <c r="N50" s="1095" t="s">
        <v>1711</v>
      </c>
      <c r="O50" s="1036">
        <f>ROUND(Table1[[#This Row],[Entry_AD_0]]*Table1[[#This Row],[Conv fact 2]]*1000,1)</f>
        <v>0</v>
      </c>
      <c r="P50" s="1036"/>
      <c r="Q50" s="703">
        <f>'Emission factors - list'!D46</f>
        <v>96.925565711490847</v>
      </c>
      <c r="R50" s="653" t="str">
        <f>'Emission factors - list'!E46</f>
        <v>kg CO2-eq / tonne</v>
      </c>
      <c r="S50" s="961" t="b">
        <f t="shared" si="4"/>
        <v>0</v>
      </c>
      <c r="T50" s="816">
        <f t="shared" si="5"/>
        <v>0</v>
      </c>
      <c r="U50" s="816">
        <f>Table1[[#This Row],[Results 
(kg CO2-eq)]]/1000</f>
        <v>0</v>
      </c>
      <c r="V50" s="816">
        <f>IF(Table1[[#This Row],[Results incl. comp. (ton CO2-eq2]]&lt;0,Table1[[#This Row],[Results incl. comp. (ton CO2-eq2]],0)</f>
        <v>0</v>
      </c>
      <c r="W50" s="816">
        <f t="shared" si="6"/>
        <v>0</v>
      </c>
      <c r="X50" s="816">
        <f>Table1[[#This Row],[Results
(ton CO2-eq)]]</f>
        <v>0</v>
      </c>
    </row>
    <row r="51" spans="2:24">
      <c r="B51" s="1048" t="s">
        <v>1912</v>
      </c>
      <c r="C51" s="1048" t="s">
        <v>185</v>
      </c>
      <c r="D51" s="1048" t="s">
        <v>203</v>
      </c>
      <c r="E51" s="653" t="s">
        <v>1151</v>
      </c>
      <c r="F51" s="814">
        <f>IF(E51="Direct",_xlfn.XLOOKUP(D51,'Input import'!B:B,'Input import'!D:D,""),_xlfn.XLOOKUP(D51,'Facilitatory data'!E:E,'Facilitatory data'!G:G,""))</f>
        <v>0</v>
      </c>
      <c r="G51" s="653" t="str">
        <f>IF(E51="Direct",_xlfn.XLOOKUP(D51,'Input import'!B:B,'Input import'!E:E,_xlfn.XLOOKUP(D51,'Input sheet format'!F:F,'Input sheet format'!I:I,"")),_xlfn.XLOOKUP(D51,'Facilitatory data'!E:E,'Facilitatory data'!H:H,""))</f>
        <v>kg</v>
      </c>
      <c r="H51" s="653">
        <v>1</v>
      </c>
      <c r="I51" s="963" t="s">
        <v>96</v>
      </c>
      <c r="J51" s="849">
        <f>1/1000</f>
        <v>1E-3</v>
      </c>
      <c r="K51" s="962" t="s">
        <v>1159</v>
      </c>
      <c r="L51" s="1034" t="str">
        <f>_xlfn.TEXTBEFORE(Table1[[#This Row],[Fill-out indicator]]," ")</f>
        <v>Wood</v>
      </c>
      <c r="M51" s="962" t="s">
        <v>1649</v>
      </c>
      <c r="N51" s="1095" t="s">
        <v>1711</v>
      </c>
      <c r="O51" s="1036">
        <f>ROUND(Table1[[#This Row],[Entry_AD_0]],1)</f>
        <v>0</v>
      </c>
      <c r="P51" s="1036"/>
      <c r="Q51" s="703">
        <f>'Emission factors - list'!D47</f>
        <v>23.386475698798847</v>
      </c>
      <c r="R51" s="653" t="str">
        <f>'Emission factors - list'!E47</f>
        <v>kg CO2-eq / tonne</v>
      </c>
      <c r="S51" s="961" t="b">
        <f t="shared" si="4"/>
        <v>0</v>
      </c>
      <c r="T51" s="816">
        <f t="shared" si="5"/>
        <v>0</v>
      </c>
      <c r="U51" s="816">
        <f>Table1[[#This Row],[Results 
(kg CO2-eq)]]/1000</f>
        <v>0</v>
      </c>
      <c r="V51" s="816">
        <f>IF(Table1[[#This Row],[Results incl. comp. (ton CO2-eq2]]&lt;0,Table1[[#This Row],[Results incl. comp. (ton CO2-eq2]],0)</f>
        <v>0</v>
      </c>
      <c r="W51" s="816">
        <f t="shared" si="6"/>
        <v>0</v>
      </c>
      <c r="X51" s="816">
        <f>Table1[[#This Row],[Results
(ton CO2-eq)]]</f>
        <v>0</v>
      </c>
    </row>
    <row r="52" spans="2:24">
      <c r="B52" s="1048" t="s">
        <v>1912</v>
      </c>
      <c r="C52" s="1048" t="s">
        <v>185</v>
      </c>
      <c r="D52" s="1048" t="s">
        <v>205</v>
      </c>
      <c r="E52" s="653" t="s">
        <v>1151</v>
      </c>
      <c r="F52" s="814">
        <f>IF(E52="Direct",_xlfn.XLOOKUP(D52,'Input import'!B:B,'Input import'!D:D,""),_xlfn.XLOOKUP(D52,'Facilitatory data'!E:E,'Facilitatory data'!G:G,""))</f>
        <v>0</v>
      </c>
      <c r="G52" s="653" t="str">
        <f>IF(E52="Direct",_xlfn.XLOOKUP(D52,'Input import'!B:B,'Input import'!E:E,_xlfn.XLOOKUP(D52,'Input sheet format'!F:F,'Input sheet format'!I:I,"")),_xlfn.XLOOKUP(D52,'Facilitatory data'!E:E,'Facilitatory data'!H:H,""))</f>
        <v>kg</v>
      </c>
      <c r="H52" s="653">
        <v>1</v>
      </c>
      <c r="I52" s="963" t="s">
        <v>96</v>
      </c>
      <c r="J52" s="849">
        <f>1/1000</f>
        <v>1E-3</v>
      </c>
      <c r="K52" s="962" t="s">
        <v>1159</v>
      </c>
      <c r="L52" s="1034" t="s">
        <v>1644</v>
      </c>
      <c r="M52" s="962" t="s">
        <v>1649</v>
      </c>
      <c r="N52" s="1095" t="s">
        <v>1711</v>
      </c>
      <c r="O52" s="1036">
        <f>ROUND(Table1[[#This Row],[Entry_AD_0]],1)</f>
        <v>0</v>
      </c>
      <c r="P52" s="1036"/>
      <c r="Q52" s="703">
        <f>'Emission factors - list'!D48</f>
        <v>6.5091125037506803</v>
      </c>
      <c r="R52" s="653" t="str">
        <f>'Emission factors - list'!E48</f>
        <v>kg CO2-eq / tonne</v>
      </c>
      <c r="S52" s="961" t="b">
        <f t="shared" si="4"/>
        <v>0</v>
      </c>
      <c r="T52" s="816">
        <f t="shared" si="5"/>
        <v>0</v>
      </c>
      <c r="U52" s="816">
        <f>Table1[[#This Row],[Results 
(kg CO2-eq)]]/1000</f>
        <v>0</v>
      </c>
      <c r="V52" s="816">
        <f>IF(Table1[[#This Row],[Results incl. comp. (ton CO2-eq2]]&lt;0,Table1[[#This Row],[Results incl. comp. (ton CO2-eq2]],0)</f>
        <v>0</v>
      </c>
      <c r="W52" s="816">
        <f t="shared" si="6"/>
        <v>0</v>
      </c>
      <c r="X52" s="816">
        <f>Table1[[#This Row],[Results
(ton CO2-eq)]]</f>
        <v>0</v>
      </c>
    </row>
    <row r="53" spans="2:24">
      <c r="B53" s="1048" t="s">
        <v>1912</v>
      </c>
      <c r="C53" s="1048" t="s">
        <v>207</v>
      </c>
      <c r="D53" s="1048" t="s">
        <v>1020</v>
      </c>
      <c r="E53" s="653" t="s">
        <v>1157</v>
      </c>
      <c r="F53" s="814">
        <f>IF(E53="Direct",_xlfn.XLOOKUP(D53,'Input import'!B:B,'Input import'!D:D,""),_xlfn.XLOOKUP(D53,'Facilitatory data'!E:E,'Facilitatory data'!G:G,""))</f>
        <v>0</v>
      </c>
      <c r="G53" s="653" t="str">
        <f>IF(E53="Direct",_xlfn.XLOOKUP(D53,'Input import'!B:B,'Input import'!E:E,_xlfn.XLOOKUP(D53,'Input sheet format'!F:F,'Input sheet format'!I:I,"")),_xlfn.XLOOKUP(D53,'Facilitatory data'!E:E,'Facilitatory data'!H:H,""))</f>
        <v>kg</v>
      </c>
      <c r="H53" s="653">
        <v>1</v>
      </c>
      <c r="I53" s="1139" t="s">
        <v>96</v>
      </c>
      <c r="J53" s="849">
        <f>1/1000</f>
        <v>1E-3</v>
      </c>
      <c r="K53" s="962" t="s">
        <v>1159</v>
      </c>
      <c r="L53" s="1034" t="s">
        <v>1645</v>
      </c>
      <c r="M53" s="962" t="s">
        <v>1641</v>
      </c>
      <c r="N53" s="1095" t="s">
        <v>1710</v>
      </c>
      <c r="O53" s="1036">
        <f>ROUND(Table1[[#This Row],[Entry_AD_0]],1)</f>
        <v>0</v>
      </c>
      <c r="P53" s="1036"/>
      <c r="Q53" s="703">
        <f>'Emission factors - list'!$D$51</f>
        <v>525.66313438905809</v>
      </c>
      <c r="R53" s="653" t="s">
        <v>1160</v>
      </c>
      <c r="S53" s="961" t="b">
        <f t="shared" si="4"/>
        <v>1</v>
      </c>
      <c r="T53" s="816">
        <f t="shared" si="5"/>
        <v>0</v>
      </c>
      <c r="U53" s="816">
        <f>Table1[[#This Row],[Results 
(kg CO2-eq)]]/1000</f>
        <v>0</v>
      </c>
      <c r="V53" s="816">
        <f>IF(Table1[[#This Row],[Results incl. comp. (ton CO2-eq2]]&lt;0,Table1[[#This Row],[Results incl. comp. (ton CO2-eq2]],0)</f>
        <v>0</v>
      </c>
      <c r="W53" s="816">
        <f t="shared" si="6"/>
        <v>0</v>
      </c>
      <c r="X53" s="816">
        <f>Table1[[#This Row],[Results
(ton CO2-eq)]]</f>
        <v>0</v>
      </c>
    </row>
    <row r="54" spans="2:24">
      <c r="B54" s="1048" t="s">
        <v>1912</v>
      </c>
      <c r="C54" s="1048" t="s">
        <v>207</v>
      </c>
      <c r="D54" s="1048" t="s">
        <v>212</v>
      </c>
      <c r="E54" s="653" t="s">
        <v>1151</v>
      </c>
      <c r="F54" s="814">
        <f>IF(E54="Direct",_xlfn.XLOOKUP(D54,'Input import'!B:B,'Input import'!D:D,""),_xlfn.XLOOKUP(D54,'Facilitatory data'!E:E,'Facilitatory data'!G:G,""))</f>
        <v>0</v>
      </c>
      <c r="G54" s="653" t="str">
        <f>IF(E54="Direct",_xlfn.XLOOKUP(D54,'Input import'!B:B,'Input import'!E:E,_xlfn.XLOOKUP(D54,'Input sheet format'!F:F,'Input sheet format'!I:I,"")),_xlfn.XLOOKUP(D54,'Facilitatory data'!E:E,'Facilitatory data'!H:H,""))</f>
        <v>kg</v>
      </c>
      <c r="H54" s="653">
        <v>1</v>
      </c>
      <c r="I54" s="963" t="s">
        <v>96</v>
      </c>
      <c r="J54" s="849">
        <f>1/1000</f>
        <v>1E-3</v>
      </c>
      <c r="K54" s="962" t="s">
        <v>1159</v>
      </c>
      <c r="L54" s="1034" t="s">
        <v>1645</v>
      </c>
      <c r="M54" s="962" t="s">
        <v>1641</v>
      </c>
      <c r="N54" s="1095" t="s">
        <v>1710</v>
      </c>
      <c r="O54" s="1036">
        <f>ROUND(Table1[[#This Row],[Entry_AD_0]],1)</f>
        <v>0</v>
      </c>
      <c r="P54" s="1036"/>
      <c r="Q54" s="703">
        <f>'Emission factors - list'!D50</f>
        <v>525.66313438905809</v>
      </c>
      <c r="R54" s="653" t="str">
        <f>'Emission factors - list'!E50</f>
        <v>kg CO2-eq / tonne</v>
      </c>
      <c r="S54" s="961" t="b">
        <f t="shared" si="4"/>
        <v>0</v>
      </c>
      <c r="T54" s="816">
        <f t="shared" si="5"/>
        <v>0</v>
      </c>
      <c r="U54" s="816">
        <f>Table1[[#This Row],[Results 
(kg CO2-eq)]]/1000</f>
        <v>0</v>
      </c>
      <c r="V54" s="816">
        <f>IF(Table1[[#This Row],[Results incl. comp. (ton CO2-eq2]]&lt;0,Table1[[#This Row],[Results incl. comp. (ton CO2-eq2]],0)</f>
        <v>0</v>
      </c>
      <c r="W54" s="816">
        <f t="shared" si="6"/>
        <v>0</v>
      </c>
      <c r="X54" s="816">
        <f>Table1[[#This Row],[Results
(ton CO2-eq)]]</f>
        <v>0</v>
      </c>
    </row>
    <row r="55" spans="2:24">
      <c r="B55" s="1048" t="s">
        <v>1912</v>
      </c>
      <c r="C55" s="1048" t="s">
        <v>207</v>
      </c>
      <c r="D55" s="1048" t="s">
        <v>214</v>
      </c>
      <c r="E55" s="653" t="s">
        <v>1151</v>
      </c>
      <c r="F55" s="814">
        <f>IF(E55="Direct",_xlfn.XLOOKUP(D55,'Input import'!B:B,'Input import'!D:D,""),_xlfn.XLOOKUP(D55,'Facilitatory data'!E:E,'Facilitatory data'!G:G,""))</f>
        <v>0</v>
      </c>
      <c r="G55" s="653" t="str">
        <f>IF(E55="Direct",_xlfn.XLOOKUP(D55,'Input import'!B:B,'Input import'!E:E,_xlfn.XLOOKUP(D55,'Input sheet format'!F:F,'Input sheet format'!I:I,"")),_xlfn.XLOOKUP(D55,'Facilitatory data'!E:E,'Facilitatory data'!H:H,""))</f>
        <v>kg</v>
      </c>
      <c r="H55" s="653">
        <v>1</v>
      </c>
      <c r="I55" s="963" t="s">
        <v>96</v>
      </c>
      <c r="J55" s="811">
        <v>1</v>
      </c>
      <c r="K55" s="962" t="s">
        <v>96</v>
      </c>
      <c r="L55" s="1034" t="s">
        <v>1645</v>
      </c>
      <c r="M55" s="962" t="s">
        <v>1641</v>
      </c>
      <c r="N55" s="1095" t="s">
        <v>1710</v>
      </c>
      <c r="O55" s="1036">
        <f>ROUND(Table1[[#This Row],[Entry_AD_0]],1)</f>
        <v>0</v>
      </c>
      <c r="P55" s="1036"/>
      <c r="Q55" s="703">
        <f>'Emission factors - list'!D49</f>
        <v>2.2410000000000001</v>
      </c>
      <c r="R55" s="653" t="str">
        <f>'Emission factors - list'!E49</f>
        <v>kg CO2-eq / kg</v>
      </c>
      <c r="S55" s="961" t="b">
        <f t="shared" si="4"/>
        <v>1</v>
      </c>
      <c r="T55" s="816">
        <f t="shared" si="5"/>
        <v>0</v>
      </c>
      <c r="U55" s="816">
        <f>Table1[[#This Row],[Results 
(kg CO2-eq)]]/1000</f>
        <v>0</v>
      </c>
      <c r="V55" s="816">
        <f>IF(Table1[[#This Row],[Results incl. comp. (ton CO2-eq2]]&lt;0,Table1[[#This Row],[Results incl. comp. (ton CO2-eq2]],0)</f>
        <v>0</v>
      </c>
      <c r="W55" s="816">
        <f t="shared" si="6"/>
        <v>0</v>
      </c>
      <c r="X55" s="816">
        <f>Table1[[#This Row],[Results
(ton CO2-eq)]]</f>
        <v>0</v>
      </c>
    </row>
    <row r="56" spans="2:24">
      <c r="B56" s="1049" t="s">
        <v>1613</v>
      </c>
      <c r="C56" s="1049" t="s">
        <v>1161</v>
      </c>
      <c r="D56" s="1049" t="s">
        <v>1043</v>
      </c>
      <c r="E56" s="962" t="s">
        <v>1157</v>
      </c>
      <c r="F56" s="814">
        <f>IF(E56="Direct",_xlfn.XLOOKUP(D56,'Input import'!B:B,'Input import'!D:D,""),_xlfn.XLOOKUP(D56,'Facilitatory data'!E:E,'Facilitatory data'!G:G,""))</f>
        <v>0</v>
      </c>
      <c r="G56" s="653" t="str">
        <f>IF(E56="Direct",_xlfn.XLOOKUP(D56,'Input import'!B:B,'Input import'!E:E,_xlfn.XLOOKUP(D56,'Input sheet format'!F:F,'Input sheet format'!I:I,"")),_xlfn.XLOOKUP(D56,'Facilitatory data'!E:E,'Facilitatory data'!H:H,""))</f>
        <v>Traveller-km</v>
      </c>
      <c r="H56" s="810">
        <v>1</v>
      </c>
      <c r="I56" s="653" t="s">
        <v>1044</v>
      </c>
      <c r="J56" s="811">
        <v>1</v>
      </c>
      <c r="K56" s="653" t="s">
        <v>1044</v>
      </c>
      <c r="L56" s="1034" t="s">
        <v>1670</v>
      </c>
      <c r="M56" s="1034" t="s">
        <v>1670</v>
      </c>
      <c r="N56" s="1034" t="s">
        <v>1664</v>
      </c>
      <c r="P56" s="1097" t="s">
        <v>224</v>
      </c>
      <c r="Q56" s="703">
        <f>'Emission factors - list'!$D$71</f>
        <v>0</v>
      </c>
      <c r="R56" s="653" t="s">
        <v>1162</v>
      </c>
      <c r="S56" s="961" t="b">
        <f t="shared" si="4"/>
        <v>1</v>
      </c>
      <c r="T56" s="816">
        <f t="shared" si="5"/>
        <v>0</v>
      </c>
      <c r="U56" s="816">
        <f>Table1[[#This Row],[Results 
(kg CO2-eq)]]/1000</f>
        <v>0</v>
      </c>
      <c r="V56" s="816">
        <f>IF(Table1[[#This Row],[Results incl. comp. (ton CO2-eq2]]&lt;0,Table1[[#This Row],[Results incl. comp. (ton CO2-eq2]],0)</f>
        <v>0</v>
      </c>
      <c r="W56" s="816">
        <f t="shared" si="6"/>
        <v>0</v>
      </c>
      <c r="X56" s="816">
        <f>Table1[[#This Row],[Results
(ton CO2-eq)]]</f>
        <v>0</v>
      </c>
    </row>
    <row r="57" spans="2:24">
      <c r="B57" s="1049" t="s">
        <v>1613</v>
      </c>
      <c r="C57" s="1049" t="s">
        <v>1161</v>
      </c>
      <c r="D57" s="1049" t="s">
        <v>1045</v>
      </c>
      <c r="E57" s="962" t="s">
        <v>1157</v>
      </c>
      <c r="F57" s="814">
        <f>IF(E57="Direct",_xlfn.XLOOKUP(D57,'Input import'!B:B,'Input import'!D:D,""),_xlfn.XLOOKUP(D57,'Facilitatory data'!E:E,'Facilitatory data'!G:G,""))</f>
        <v>0</v>
      </c>
      <c r="G57" s="653" t="str">
        <f>IF(E57="Direct",_xlfn.XLOOKUP(D57,'Input import'!B:B,'Input import'!E:E,_xlfn.XLOOKUP(D57,'Input sheet format'!F:F,'Input sheet format'!I:I,"")),_xlfn.XLOOKUP(D57,'Facilitatory data'!E:E,'Facilitatory data'!H:H,""))</f>
        <v>Traveller-km</v>
      </c>
      <c r="H57" s="810">
        <v>1</v>
      </c>
      <c r="I57" s="653" t="s">
        <v>1044</v>
      </c>
      <c r="J57" s="811">
        <v>1</v>
      </c>
      <c r="K57" s="653" t="s">
        <v>1044</v>
      </c>
      <c r="L57" s="1034" t="s">
        <v>1671</v>
      </c>
      <c r="M57" s="1034" t="s">
        <v>1671</v>
      </c>
      <c r="N57" s="1034" t="s">
        <v>1664</v>
      </c>
      <c r="Q57" s="703">
        <f>'Emission factors - list'!$D$64</f>
        <v>0</v>
      </c>
      <c r="R57" s="653" t="s">
        <v>1162</v>
      </c>
      <c r="S57" s="961" t="b">
        <f t="shared" si="4"/>
        <v>1</v>
      </c>
      <c r="T57" s="816">
        <f t="shared" si="5"/>
        <v>0</v>
      </c>
      <c r="U57" s="816">
        <f>Table1[[#This Row],[Results 
(kg CO2-eq)]]/1000</f>
        <v>0</v>
      </c>
      <c r="V57" s="816">
        <f>IF(Table1[[#This Row],[Results incl. comp. (ton CO2-eq2]]&lt;0,Table1[[#This Row],[Results incl. comp. (ton CO2-eq2]],0)</f>
        <v>0</v>
      </c>
      <c r="W57" s="816">
        <f t="shared" si="6"/>
        <v>0</v>
      </c>
      <c r="X57" s="816">
        <f>Table1[[#This Row],[Results
(ton CO2-eq)]]</f>
        <v>0</v>
      </c>
    </row>
    <row r="58" spans="2:24">
      <c r="B58" s="1049" t="s">
        <v>1613</v>
      </c>
      <c r="C58" s="1049" t="s">
        <v>1161</v>
      </c>
      <c r="D58" s="1049" t="s">
        <v>1046</v>
      </c>
      <c r="E58" s="962" t="s">
        <v>1157</v>
      </c>
      <c r="F58" s="814">
        <f>IF(E58="Direct",_xlfn.XLOOKUP(D58,'Input import'!B:B,'Input import'!D:D,""),_xlfn.XLOOKUP(D58,'Facilitatory data'!E:E,'Facilitatory data'!G:G,""))</f>
        <v>0</v>
      </c>
      <c r="G58" s="653" t="str">
        <f>IF(E58="Direct",_xlfn.XLOOKUP(D58,'Input import'!B:B,'Input import'!E:E,_xlfn.XLOOKUP(D58,'Input sheet format'!F:F,'Input sheet format'!I:I,"")),_xlfn.XLOOKUP(D58,'Facilitatory data'!E:E,'Facilitatory data'!H:H,""))</f>
        <v>Traveller-km</v>
      </c>
      <c r="H58" s="810">
        <v>1</v>
      </c>
      <c r="I58" s="653" t="s">
        <v>1044</v>
      </c>
      <c r="J58" s="811">
        <v>1</v>
      </c>
      <c r="K58" s="653" t="s">
        <v>1044</v>
      </c>
      <c r="L58" s="1034" t="s">
        <v>1673</v>
      </c>
      <c r="M58" s="1034" t="s">
        <v>1673</v>
      </c>
      <c r="N58" s="1095" t="s">
        <v>1713</v>
      </c>
      <c r="Q58" s="703">
        <f>'Emission factors - list'!$D$70</f>
        <v>9.1999999999999998E-2</v>
      </c>
      <c r="R58" s="653" t="s">
        <v>1162</v>
      </c>
      <c r="S58" s="961" t="b">
        <f t="shared" si="4"/>
        <v>1</v>
      </c>
      <c r="T58" s="816">
        <f t="shared" si="5"/>
        <v>0</v>
      </c>
      <c r="U58" s="816">
        <f>Table1[[#This Row],[Results 
(kg CO2-eq)]]/1000</f>
        <v>0</v>
      </c>
      <c r="V58" s="816">
        <f>IF(Table1[[#This Row],[Results incl. comp. (ton CO2-eq2]]&lt;0,Table1[[#This Row],[Results incl. comp. (ton CO2-eq2]],0)</f>
        <v>0</v>
      </c>
      <c r="W58" s="816">
        <f t="shared" si="6"/>
        <v>0</v>
      </c>
      <c r="X58" s="816">
        <f>Table1[[#This Row],[Results
(ton CO2-eq)]]</f>
        <v>0</v>
      </c>
    </row>
    <row r="59" spans="2:24">
      <c r="B59" s="1049" t="s">
        <v>1613</v>
      </c>
      <c r="C59" s="1049" t="s">
        <v>1161</v>
      </c>
      <c r="D59" s="1049" t="s">
        <v>1047</v>
      </c>
      <c r="E59" s="962" t="s">
        <v>1157</v>
      </c>
      <c r="F59" s="814">
        <f>IF(E59="Direct",_xlfn.XLOOKUP(D59,'Input import'!B:B,'Input import'!D:D,""),_xlfn.XLOOKUP(D59,'Facilitatory data'!E:E,'Facilitatory data'!G:G,""))</f>
        <v>0</v>
      </c>
      <c r="G59" s="653" t="str">
        <f>IF(E59="Direct",_xlfn.XLOOKUP(D59,'Input import'!B:B,'Input import'!E:E,_xlfn.XLOOKUP(D59,'Input sheet format'!F:F,'Input sheet format'!I:I,"")),_xlfn.XLOOKUP(D59,'Facilitatory data'!E:E,'Facilitatory data'!H:H,""))</f>
        <v>Traveller-km</v>
      </c>
      <c r="H59" s="810">
        <v>1</v>
      </c>
      <c r="I59" s="653" t="s">
        <v>1044</v>
      </c>
      <c r="J59" s="811">
        <v>1</v>
      </c>
      <c r="K59" s="653" t="s">
        <v>1044</v>
      </c>
      <c r="L59" s="1034" t="s">
        <v>1673</v>
      </c>
      <c r="M59" s="1034" t="s">
        <v>1673</v>
      </c>
      <c r="N59" s="1034" t="s">
        <v>1664</v>
      </c>
      <c r="Q59" s="703">
        <f>'Emission factors - list'!$D$64</f>
        <v>0</v>
      </c>
      <c r="R59" s="653" t="s">
        <v>1162</v>
      </c>
      <c r="S59" s="961" t="b">
        <f t="shared" si="4"/>
        <v>1</v>
      </c>
      <c r="T59" s="816">
        <f t="shared" si="5"/>
        <v>0</v>
      </c>
      <c r="U59" s="816">
        <f>Table1[[#This Row],[Results 
(kg CO2-eq)]]/1000</f>
        <v>0</v>
      </c>
      <c r="V59" s="816">
        <f>IF(Table1[[#This Row],[Results incl. comp. (ton CO2-eq2]]&lt;0,Table1[[#This Row],[Results incl. comp. (ton CO2-eq2]],0)</f>
        <v>0</v>
      </c>
      <c r="W59" s="816">
        <f t="shared" si="6"/>
        <v>0</v>
      </c>
      <c r="X59" s="816">
        <f>Table1[[#This Row],[Results
(ton CO2-eq)]]</f>
        <v>0</v>
      </c>
    </row>
    <row r="60" spans="2:24">
      <c r="B60" s="1049" t="s">
        <v>1613</v>
      </c>
      <c r="C60" s="1049" t="s">
        <v>1161</v>
      </c>
      <c r="D60" s="1049" t="s">
        <v>1048</v>
      </c>
      <c r="E60" s="962" t="s">
        <v>1157</v>
      </c>
      <c r="F60" s="814">
        <f>IF(E60="Direct",_xlfn.XLOOKUP(D60,'Input import'!B:B,'Input import'!D:D,""),_xlfn.XLOOKUP(D60,'Facilitatory data'!E:E,'Facilitatory data'!G:G,""))</f>
        <v>0</v>
      </c>
      <c r="G60" s="653" t="str">
        <f>IF(E60="Direct",_xlfn.XLOOKUP(D60,'Input import'!B:B,'Input import'!E:E,_xlfn.XLOOKUP(D60,'Input sheet format'!F:F,'Input sheet format'!I:I,"")),_xlfn.XLOOKUP(D60,'Facilitatory data'!E:E,'Facilitatory data'!H:H,""))</f>
        <v>Traveller-km</v>
      </c>
      <c r="H60" s="1136">
        <f>1/'Facilitatory data'!G259</f>
        <v>0.5</v>
      </c>
      <c r="I60" s="653" t="s">
        <v>1131</v>
      </c>
      <c r="J60" s="811">
        <v>1</v>
      </c>
      <c r="K60" s="653" t="s">
        <v>1131</v>
      </c>
      <c r="L60" s="1034" t="s">
        <v>1672</v>
      </c>
      <c r="M60" s="1034" t="s">
        <v>1672</v>
      </c>
      <c r="N60" s="1095" t="s">
        <v>1713</v>
      </c>
      <c r="Q60" s="703">
        <f>'Emission factors - list'!$D$66</f>
        <v>0.191</v>
      </c>
      <c r="R60" s="653" t="s">
        <v>1163</v>
      </c>
      <c r="S60" s="961" t="b">
        <f t="shared" si="4"/>
        <v>1</v>
      </c>
      <c r="T60" s="816">
        <f>IFERROR(F60*H60*J60*Q60,"Error")</f>
        <v>0</v>
      </c>
      <c r="U60" s="816">
        <f>Table1[[#This Row],[Results 
(kg CO2-eq)]]/1000</f>
        <v>0</v>
      </c>
      <c r="V60" s="816">
        <f>IF(Table1[[#This Row],[Results incl. comp. (ton CO2-eq2]]&lt;0,Table1[[#This Row],[Results incl. comp. (ton CO2-eq2]],0)</f>
        <v>0</v>
      </c>
      <c r="W60" s="816">
        <f>IFERROR(F60*H60*J60*Q60,"Error")</f>
        <v>0</v>
      </c>
      <c r="X60" s="816">
        <f>Table1[[#This Row],[Results
(ton CO2-eq)]]</f>
        <v>0</v>
      </c>
    </row>
    <row r="61" spans="2:24">
      <c r="B61" s="1049" t="s">
        <v>1613</v>
      </c>
      <c r="C61" s="1049" t="s">
        <v>1161</v>
      </c>
      <c r="D61" s="1049" t="s">
        <v>1049</v>
      </c>
      <c r="E61" s="962" t="s">
        <v>1157</v>
      </c>
      <c r="F61" s="814">
        <f>IF(E61="Direct",_xlfn.XLOOKUP(D61,'Input import'!B:B,'Input import'!D:D,""),_xlfn.XLOOKUP(D61,'Facilitatory data'!E:E,'Facilitatory data'!G:G,""))</f>
        <v>0</v>
      </c>
      <c r="G61" s="653" t="str">
        <f>IF(E61="Direct",_xlfn.XLOOKUP(D61,'Input import'!B:B,'Input import'!E:E,_xlfn.XLOOKUP(D61,'Input sheet format'!F:F,'Input sheet format'!I:I,"")),_xlfn.XLOOKUP(D61,'Facilitatory data'!E:E,'Facilitatory data'!H:H,""))</f>
        <v>Traveller-km</v>
      </c>
      <c r="H61" s="1136">
        <f>1/'Facilitatory data'!G260</f>
        <v>0.5</v>
      </c>
      <c r="I61" s="653" t="s">
        <v>1131</v>
      </c>
      <c r="J61" s="811">
        <v>1</v>
      </c>
      <c r="K61" s="653" t="s">
        <v>1131</v>
      </c>
      <c r="L61" s="1034" t="s">
        <v>1672</v>
      </c>
      <c r="M61" s="1034" t="s">
        <v>1672</v>
      </c>
      <c r="N61" s="1034" t="s">
        <v>1664</v>
      </c>
      <c r="Q61" s="703">
        <f>'Emission factors - list'!$D$67</f>
        <v>6.2E-2</v>
      </c>
      <c r="R61" s="653" t="s">
        <v>1163</v>
      </c>
      <c r="S61" s="961" t="b">
        <f t="shared" si="4"/>
        <v>1</v>
      </c>
      <c r="T61" s="816">
        <f>IFERROR(F61*H61*J61*Q61,"Error")</f>
        <v>0</v>
      </c>
      <c r="U61" s="816">
        <f>Table1[[#This Row],[Results 
(kg CO2-eq)]]/1000</f>
        <v>0</v>
      </c>
      <c r="V61" s="816">
        <f>IF(Table1[[#This Row],[Results incl. comp. (ton CO2-eq2]]&lt;0,Table1[[#This Row],[Results incl. comp. (ton CO2-eq2]],0)</f>
        <v>0</v>
      </c>
      <c r="W61" s="816">
        <f>IFERROR(F61*H61*J61*Q61,"Error")</f>
        <v>0</v>
      </c>
      <c r="X61" s="816">
        <f>Table1[[#This Row],[Results
(ton CO2-eq)]]</f>
        <v>0</v>
      </c>
    </row>
    <row r="62" spans="2:24">
      <c r="B62" s="1049" t="s">
        <v>1613</v>
      </c>
      <c r="C62" s="1049" t="s">
        <v>1161</v>
      </c>
      <c r="D62" s="1049" t="s">
        <v>1050</v>
      </c>
      <c r="E62" s="962" t="s">
        <v>1157</v>
      </c>
      <c r="F62" s="814">
        <f>IF(E62="Direct",_xlfn.XLOOKUP(D62,'Input import'!B:B,'Input import'!D:D,""),_xlfn.XLOOKUP(D62,'Facilitatory data'!E:E,'Facilitatory data'!G:G,""))</f>
        <v>0</v>
      </c>
      <c r="G62" s="653" t="str">
        <f>IF(E62="Direct",_xlfn.XLOOKUP(D62,'Input import'!B:B,'Input import'!E:E,_xlfn.XLOOKUP(D62,'Input sheet format'!F:F,'Input sheet format'!I:I,"")),_xlfn.XLOOKUP(D62,'Facilitatory data'!E:E,'Facilitatory data'!H:H,""))</f>
        <v>Traveller-km</v>
      </c>
      <c r="H62" s="810">
        <v>1</v>
      </c>
      <c r="I62" s="653" t="s">
        <v>1044</v>
      </c>
      <c r="J62" s="811">
        <v>1</v>
      </c>
      <c r="K62" s="653" t="s">
        <v>1044</v>
      </c>
      <c r="L62" s="1034" t="s">
        <v>1674</v>
      </c>
      <c r="M62" s="1034" t="s">
        <v>1674</v>
      </c>
      <c r="N62" s="1095" t="s">
        <v>1713</v>
      </c>
      <c r="Q62" s="703">
        <f>'Emission factors - list'!$D$69</f>
        <v>1.9E-2</v>
      </c>
      <c r="R62" s="653" t="s">
        <v>1162</v>
      </c>
      <c r="S62" s="961" t="b">
        <f t="shared" si="4"/>
        <v>1</v>
      </c>
      <c r="T62" s="816">
        <f t="shared" si="5"/>
        <v>0</v>
      </c>
      <c r="U62" s="816">
        <f>Table1[[#This Row],[Results 
(kg CO2-eq)]]/1000</f>
        <v>0</v>
      </c>
      <c r="V62" s="816">
        <f>IF(Table1[[#This Row],[Results incl. comp. (ton CO2-eq2]]&lt;0,Table1[[#This Row],[Results incl. comp. (ton CO2-eq2]],0)</f>
        <v>0</v>
      </c>
      <c r="W62" s="816">
        <f t="shared" si="6"/>
        <v>0</v>
      </c>
      <c r="X62" s="816">
        <f>Table1[[#This Row],[Results
(ton CO2-eq)]]</f>
        <v>0</v>
      </c>
    </row>
    <row r="63" spans="2:24">
      <c r="B63" s="1049" t="s">
        <v>1613</v>
      </c>
      <c r="C63" s="1049" t="s">
        <v>1161</v>
      </c>
      <c r="D63" s="1049" t="s">
        <v>1051</v>
      </c>
      <c r="E63" s="962" t="s">
        <v>1157</v>
      </c>
      <c r="F63" s="814">
        <f>IF(E63="Direct",_xlfn.XLOOKUP(D63,'Input import'!B:B,'Input import'!D:D,""),_xlfn.XLOOKUP(D63,'Facilitatory data'!E:E,'Facilitatory data'!G:G,""))</f>
        <v>0</v>
      </c>
      <c r="G63" s="653" t="str">
        <f>IF(E63="Direct",_xlfn.XLOOKUP(D63,'Input import'!B:B,'Input import'!E:E,_xlfn.XLOOKUP(D63,'Input sheet format'!F:F,'Input sheet format'!I:I,"")),_xlfn.XLOOKUP(D63,'Facilitatory data'!E:E,'Facilitatory data'!H:H,""))</f>
        <v>Traveller-km</v>
      </c>
      <c r="H63" s="810">
        <v>1</v>
      </c>
      <c r="I63" s="653" t="s">
        <v>1044</v>
      </c>
      <c r="J63" s="811">
        <v>1</v>
      </c>
      <c r="K63" s="653" t="s">
        <v>1044</v>
      </c>
      <c r="L63" s="1034" t="s">
        <v>1674</v>
      </c>
      <c r="M63" s="1034" t="s">
        <v>1674</v>
      </c>
      <c r="N63" s="1034" t="s">
        <v>1664</v>
      </c>
      <c r="Q63" s="703">
        <f>'Emission factors - list'!$D$68</f>
        <v>0</v>
      </c>
      <c r="R63" s="653" t="s">
        <v>1162</v>
      </c>
      <c r="S63" s="961" t="b">
        <f t="shared" si="4"/>
        <v>1</v>
      </c>
      <c r="T63" s="816">
        <f t="shared" si="5"/>
        <v>0</v>
      </c>
      <c r="U63" s="816">
        <f>Table1[[#This Row],[Results 
(kg CO2-eq)]]/1000</f>
        <v>0</v>
      </c>
      <c r="V63" s="816">
        <f>IF(Table1[[#This Row],[Results incl. comp. (ton CO2-eq2]]&lt;0,Table1[[#This Row],[Results incl. comp. (ton CO2-eq2]],0)</f>
        <v>0</v>
      </c>
      <c r="W63" s="816">
        <f t="shared" si="6"/>
        <v>0</v>
      </c>
      <c r="X63" s="816">
        <f>Table1[[#This Row],[Results
(ton CO2-eq)]]</f>
        <v>0</v>
      </c>
    </row>
    <row r="64" spans="2:24">
      <c r="B64" s="1049" t="s">
        <v>1613</v>
      </c>
      <c r="C64" s="1049" t="s">
        <v>1161</v>
      </c>
      <c r="D64" s="1049" t="s">
        <v>1052</v>
      </c>
      <c r="E64" s="962" t="s">
        <v>1157</v>
      </c>
      <c r="F64" s="814">
        <f>IF(E64="Direct",_xlfn.XLOOKUP(D64,'Input import'!B:B,'Input import'!D:D,""),_xlfn.XLOOKUP(D64,'Facilitatory data'!E:E,'Facilitatory data'!G:G,""))</f>
        <v>0</v>
      </c>
      <c r="G64" s="653" t="str">
        <f>IF(E64="Direct",_xlfn.XLOOKUP(D64,'Input import'!B:B,'Input import'!E:E,_xlfn.XLOOKUP(D64,'Input sheet format'!F:F,'Input sheet format'!I:I,"")),_xlfn.XLOOKUP(D64,'Facilitatory data'!E:E,'Facilitatory data'!H:H,""))</f>
        <v>Traveller-km</v>
      </c>
      <c r="H64" s="810">
        <v>1</v>
      </c>
      <c r="I64" s="653" t="s">
        <v>1044</v>
      </c>
      <c r="J64" s="811">
        <v>1</v>
      </c>
      <c r="K64" s="653" t="s">
        <v>1044</v>
      </c>
      <c r="L64" s="1034" t="s">
        <v>1287</v>
      </c>
      <c r="M64" s="1034" t="s">
        <v>1287</v>
      </c>
      <c r="N64" s="1034" t="s">
        <v>1664</v>
      </c>
      <c r="Q64" s="703">
        <f>'Emission factors - list'!$D$65</f>
        <v>0</v>
      </c>
      <c r="R64" s="653" t="s">
        <v>1162</v>
      </c>
      <c r="S64" s="961" t="b">
        <f t="shared" si="4"/>
        <v>1</v>
      </c>
      <c r="T64" s="816">
        <f t="shared" si="5"/>
        <v>0</v>
      </c>
      <c r="U64" s="816">
        <f>Table1[[#This Row],[Results 
(kg CO2-eq)]]/1000</f>
        <v>0</v>
      </c>
      <c r="V64" s="816">
        <f>IF(Table1[[#This Row],[Results incl. comp. (ton CO2-eq2]]&lt;0,Table1[[#This Row],[Results incl. comp. (ton CO2-eq2]],0)</f>
        <v>0</v>
      </c>
      <c r="W64" s="816">
        <f t="shared" si="6"/>
        <v>0</v>
      </c>
      <c r="X64" s="816">
        <f>Table1[[#This Row],[Results
(ton CO2-eq)]]</f>
        <v>0</v>
      </c>
    </row>
    <row r="65" spans="2:24">
      <c r="B65" s="1049" t="s">
        <v>1613</v>
      </c>
      <c r="C65" s="1049" t="s">
        <v>1161</v>
      </c>
      <c r="D65" s="1049" t="s">
        <v>1053</v>
      </c>
      <c r="E65" s="962" t="s">
        <v>1157</v>
      </c>
      <c r="F65" s="814">
        <f>IF(E65="Direct",_xlfn.XLOOKUP(D65,'Input import'!B:B,'Input import'!D:D,""),_xlfn.XLOOKUP(D65,'Facilitatory data'!E:E,'Facilitatory data'!G:G,""))</f>
        <v>0</v>
      </c>
      <c r="G65" s="653" t="str">
        <f>IF(E65="Direct",_xlfn.XLOOKUP(D65,'Input import'!B:B,'Input import'!E:E,_xlfn.XLOOKUP(D65,'Input sheet format'!F:F,'Input sheet format'!I:I,"")),_xlfn.XLOOKUP(D65,'Facilitatory data'!E:E,'Facilitatory data'!H:H,""))</f>
        <v>Traveller-km</v>
      </c>
      <c r="H65" s="810">
        <v>1</v>
      </c>
      <c r="I65" s="653" t="s">
        <v>1044</v>
      </c>
      <c r="J65" s="811">
        <v>1</v>
      </c>
      <c r="K65" s="653" t="s">
        <v>1044</v>
      </c>
      <c r="L65" s="1034" t="s">
        <v>1300</v>
      </c>
      <c r="M65" s="1034" t="s">
        <v>1300</v>
      </c>
      <c r="N65" s="1095" t="s">
        <v>1713</v>
      </c>
      <c r="Q65" s="703">
        <f>'Emission factors - list'!$D$72</f>
        <v>0.182</v>
      </c>
      <c r="R65" s="653" t="s">
        <v>1162</v>
      </c>
      <c r="S65" s="961" t="b">
        <f t="shared" si="4"/>
        <v>1</v>
      </c>
      <c r="T65" s="816">
        <f t="shared" si="5"/>
        <v>0</v>
      </c>
      <c r="U65" s="816">
        <f>Table1[[#This Row],[Results 
(kg CO2-eq)]]/1000</f>
        <v>0</v>
      </c>
      <c r="V65" s="816">
        <f>IF(Table1[[#This Row],[Results incl. comp. (ton CO2-eq2]]&lt;0,Table1[[#This Row],[Results incl. comp. (ton CO2-eq2]],0)</f>
        <v>0</v>
      </c>
      <c r="W65" s="816">
        <f t="shared" si="6"/>
        <v>0</v>
      </c>
      <c r="X65" s="816">
        <f>Table1[[#This Row],[Results
(ton CO2-eq)]]</f>
        <v>0</v>
      </c>
    </row>
    <row r="66" spans="2:24">
      <c r="B66" s="1049" t="s">
        <v>1613</v>
      </c>
      <c r="C66" s="1049" t="s">
        <v>1161</v>
      </c>
      <c r="D66" s="1049" t="s">
        <v>1054</v>
      </c>
      <c r="E66" s="962" t="s">
        <v>1157</v>
      </c>
      <c r="F66" s="814">
        <f>IF(E66="Direct",_xlfn.XLOOKUP(D66,'Input import'!B:B,'Input import'!D:D,""),_xlfn.XLOOKUP(D66,'Facilitatory data'!E:E,'Facilitatory data'!G:G,""))</f>
        <v>0</v>
      </c>
      <c r="G66" s="653" t="str">
        <f>IF(E66="Direct",_xlfn.XLOOKUP(D66,'Input import'!B:B,'Input import'!E:E,_xlfn.XLOOKUP(D66,'Input sheet format'!F:F,'Input sheet format'!I:I,"")),_xlfn.XLOOKUP(D66,'Facilitatory data'!E:E,'Facilitatory data'!H:H,""))</f>
        <v>Traveller-km</v>
      </c>
      <c r="H66" s="810">
        <v>1</v>
      </c>
      <c r="I66" s="653" t="s">
        <v>1044</v>
      </c>
      <c r="J66" s="811">
        <v>1</v>
      </c>
      <c r="K66" s="653" t="s">
        <v>1044</v>
      </c>
      <c r="L66" s="1034" t="s">
        <v>1675</v>
      </c>
      <c r="M66" s="1034" t="s">
        <v>1675</v>
      </c>
      <c r="N66" s="1095" t="s">
        <v>1713</v>
      </c>
      <c r="Q66" s="703">
        <f>'Emission factors - list'!$D$73</f>
        <v>1.8738000000000001E-2</v>
      </c>
      <c r="R66" s="653" t="s">
        <v>1162</v>
      </c>
      <c r="S66" s="961" t="b">
        <f t="shared" si="4"/>
        <v>1</v>
      </c>
      <c r="T66" s="816">
        <f t="shared" si="5"/>
        <v>0</v>
      </c>
      <c r="U66" s="816">
        <f>Table1[[#This Row],[Results 
(kg CO2-eq)]]/1000</f>
        <v>0</v>
      </c>
      <c r="V66" s="816">
        <f>IF(Table1[[#This Row],[Results incl. comp. (ton CO2-eq2]]&lt;0,Table1[[#This Row],[Results incl. comp. (ton CO2-eq2]],0)</f>
        <v>0</v>
      </c>
      <c r="W66" s="816">
        <f t="shared" si="6"/>
        <v>0</v>
      </c>
      <c r="X66" s="816">
        <f>Table1[[#This Row],[Results
(ton CO2-eq)]]</f>
        <v>0</v>
      </c>
    </row>
    <row r="67" spans="2:24">
      <c r="B67" s="1049" t="s">
        <v>1613</v>
      </c>
      <c r="C67" s="1049" t="s">
        <v>1161</v>
      </c>
      <c r="D67" s="1049" t="s">
        <v>1055</v>
      </c>
      <c r="E67" s="962" t="s">
        <v>1157</v>
      </c>
      <c r="F67" s="814">
        <f>IF(E67="Direct",_xlfn.XLOOKUP(D67,'Input import'!B:B,'Input import'!D:D,""),_xlfn.XLOOKUP(D67,'Facilitatory data'!E:E,'Facilitatory data'!G:G,""))</f>
        <v>0</v>
      </c>
      <c r="G67" s="653" t="str">
        <f>IF(E67="Direct",_xlfn.XLOOKUP(D67,'Input import'!B:B,'Input import'!E:E,_xlfn.XLOOKUP(D67,'Input sheet format'!F:F,'Input sheet format'!I:I,"")),_xlfn.XLOOKUP(D67,'Facilitatory data'!E:E,'Facilitatory data'!H:H,""))</f>
        <v>Traveller-km</v>
      </c>
      <c r="H67" s="810">
        <v>1</v>
      </c>
      <c r="I67" s="653" t="s">
        <v>1044</v>
      </c>
      <c r="J67" s="811">
        <v>1</v>
      </c>
      <c r="K67" s="653" t="s">
        <v>1044</v>
      </c>
      <c r="L67" s="1034" t="s">
        <v>1675</v>
      </c>
      <c r="M67" s="1034" t="s">
        <v>1675</v>
      </c>
      <c r="N67" s="1034" t="s">
        <v>1664</v>
      </c>
      <c r="Q67" s="703">
        <f>'Emission factors - list'!$D$74</f>
        <v>0</v>
      </c>
      <c r="R67" s="653" t="s">
        <v>1162</v>
      </c>
      <c r="S67" s="961" t="b">
        <f t="shared" si="4"/>
        <v>1</v>
      </c>
      <c r="T67" s="816">
        <f t="shared" si="5"/>
        <v>0</v>
      </c>
      <c r="U67" s="816">
        <f>Table1[[#This Row],[Results 
(kg CO2-eq)]]/1000</f>
        <v>0</v>
      </c>
      <c r="V67" s="816">
        <f>IF(Table1[[#This Row],[Results incl. comp. (ton CO2-eq2]]&lt;0,Table1[[#This Row],[Results incl. comp. (ton CO2-eq2]],0)</f>
        <v>0</v>
      </c>
      <c r="W67" s="816">
        <f t="shared" si="6"/>
        <v>0</v>
      </c>
      <c r="X67" s="816">
        <f>Table1[[#This Row],[Results
(ton CO2-eq)]]</f>
        <v>0</v>
      </c>
    </row>
    <row r="68" spans="2:24">
      <c r="B68" s="1049" t="s">
        <v>1613</v>
      </c>
      <c r="C68" s="1049" t="s">
        <v>1161</v>
      </c>
      <c r="D68" s="1049" t="s">
        <v>1056</v>
      </c>
      <c r="E68" s="962" t="s">
        <v>1157</v>
      </c>
      <c r="F68" s="814">
        <f>IF(E68="Direct",_xlfn.XLOOKUP(D68,'Input import'!B:B,'Input import'!D:D,""),_xlfn.XLOOKUP(D68,'Facilitatory data'!E:E,'Facilitatory data'!G:G,""))</f>
        <v>0</v>
      </c>
      <c r="G68" s="653" t="str">
        <f>IF(E68="Direct",_xlfn.XLOOKUP(D68,'Input import'!B:B,'Input import'!E:E,_xlfn.XLOOKUP(D68,'Input sheet format'!F:F,'Input sheet format'!I:I,"")),_xlfn.XLOOKUP(D68,'Facilitatory data'!E:E,'Facilitatory data'!H:H,""))</f>
        <v>Traveller-km</v>
      </c>
      <c r="H68" s="810">
        <v>1</v>
      </c>
      <c r="I68" s="653" t="s">
        <v>1044</v>
      </c>
      <c r="J68" s="811">
        <v>1</v>
      </c>
      <c r="K68" s="653" t="s">
        <v>1044</v>
      </c>
      <c r="L68" s="1034" t="s">
        <v>1677</v>
      </c>
      <c r="M68" s="1034" t="s">
        <v>1677</v>
      </c>
      <c r="N68" s="1095" t="s">
        <v>1713</v>
      </c>
      <c r="Q68" s="703">
        <f>'Emission factors - list'!$D$69</f>
        <v>1.9E-2</v>
      </c>
      <c r="R68" s="653" t="s">
        <v>1162</v>
      </c>
      <c r="S68" s="961" t="b">
        <f t="shared" si="4"/>
        <v>1</v>
      </c>
      <c r="T68" s="816">
        <f t="shared" si="5"/>
        <v>0</v>
      </c>
      <c r="U68" s="816">
        <f>Table1[[#This Row],[Results 
(kg CO2-eq)]]/1000</f>
        <v>0</v>
      </c>
      <c r="V68" s="816">
        <f>IF(Table1[[#This Row],[Results incl. comp. (ton CO2-eq2]]&lt;0,Table1[[#This Row],[Results incl. comp. (ton CO2-eq2]],0)</f>
        <v>0</v>
      </c>
      <c r="W68" s="816">
        <f t="shared" si="6"/>
        <v>0</v>
      </c>
      <c r="X68" s="816">
        <f>Table1[[#This Row],[Results
(ton CO2-eq)]]</f>
        <v>0</v>
      </c>
    </row>
    <row r="69" spans="2:24">
      <c r="B69" s="1049" t="s">
        <v>1613</v>
      </c>
      <c r="C69" s="1049" t="s">
        <v>1161</v>
      </c>
      <c r="D69" s="1049" t="s">
        <v>1057</v>
      </c>
      <c r="E69" s="962" t="s">
        <v>1157</v>
      </c>
      <c r="F69" s="814">
        <f>IF(E69="Direct",_xlfn.XLOOKUP(D69,'Input import'!B:B,'Input import'!D:D,""),_xlfn.XLOOKUP(D69,'Facilitatory data'!E:E,'Facilitatory data'!G:G,""))</f>
        <v>0</v>
      </c>
      <c r="G69" s="653" t="str">
        <f>IF(E69="Direct",_xlfn.XLOOKUP(D69,'Input import'!B:B,'Input import'!E:E,_xlfn.XLOOKUP(D69,'Input sheet format'!F:F,'Input sheet format'!I:I,"")),_xlfn.XLOOKUP(D69,'Facilitatory data'!E:E,'Facilitatory data'!H:H,""))</f>
        <v>Traveller-km</v>
      </c>
      <c r="H69" s="810">
        <v>1</v>
      </c>
      <c r="I69" s="653" t="s">
        <v>1044</v>
      </c>
      <c r="J69" s="811">
        <v>1</v>
      </c>
      <c r="K69" s="653" t="s">
        <v>1044</v>
      </c>
      <c r="L69" s="1034" t="s">
        <v>1677</v>
      </c>
      <c r="M69" s="1034" t="s">
        <v>1677</v>
      </c>
      <c r="N69" s="1034" t="s">
        <v>1664</v>
      </c>
      <c r="Q69" s="703">
        <f>'Emission factors - list'!$D$68</f>
        <v>0</v>
      </c>
      <c r="R69" s="653" t="s">
        <v>1162</v>
      </c>
      <c r="S69" s="961" t="b">
        <f t="shared" ref="S69:S100" si="8">IFERROR(_xlfn.TEXTAFTER(R69,"/ ")=K69,"")</f>
        <v>1</v>
      </c>
      <c r="T69" s="816">
        <f t="shared" ref="T69:T100" si="9">IFERROR(F69*H69*J69*Q69,"Error")</f>
        <v>0</v>
      </c>
      <c r="U69" s="816">
        <f>Table1[[#This Row],[Results 
(kg CO2-eq)]]/1000</f>
        <v>0</v>
      </c>
      <c r="V69" s="816">
        <f>IF(Table1[[#This Row],[Results incl. comp. (ton CO2-eq2]]&lt;0,Table1[[#This Row],[Results incl. comp. (ton CO2-eq2]],0)</f>
        <v>0</v>
      </c>
      <c r="W69" s="816">
        <f t="shared" ref="W69:W100" si="10">IFERROR(F69*H69*J69*Q69,"Error")</f>
        <v>0</v>
      </c>
      <c r="X69" s="816">
        <f>Table1[[#This Row],[Results
(ton CO2-eq)]]</f>
        <v>0</v>
      </c>
    </row>
    <row r="70" spans="2:24">
      <c r="B70" s="1049" t="s">
        <v>1613</v>
      </c>
      <c r="C70" s="1049" t="s">
        <v>1164</v>
      </c>
      <c r="D70" s="1049" t="s">
        <v>1074</v>
      </c>
      <c r="E70" s="962" t="s">
        <v>1157</v>
      </c>
      <c r="F70" s="814">
        <f>IF(E70="Direct",_xlfn.XLOOKUP(D70,'Input import'!B:B,'Input import'!D:D,""),_xlfn.XLOOKUP(D70,'Facilitatory data'!E:E,'Facilitatory data'!G:G,""))</f>
        <v>0</v>
      </c>
      <c r="G70" s="653" t="str">
        <f>IF(E70="Direct",_xlfn.XLOOKUP(D70,'Input import'!B:B,'Input import'!E:E,_xlfn.XLOOKUP(D70,'Input sheet format'!F:F,'Input sheet format'!I:I,"")),_xlfn.XLOOKUP(D70,'Facilitatory data'!E:E,'Facilitatory data'!H:H,""))</f>
        <v>Traveller-km</v>
      </c>
      <c r="H70" s="810">
        <v>1</v>
      </c>
      <c r="I70" s="653" t="s">
        <v>1044</v>
      </c>
      <c r="J70" s="811">
        <v>1</v>
      </c>
      <c r="K70" s="653" t="s">
        <v>1044</v>
      </c>
      <c r="L70" s="1034" t="s">
        <v>1670</v>
      </c>
      <c r="M70" s="1034" t="s">
        <v>1670</v>
      </c>
      <c r="N70" s="1034" t="s">
        <v>1664</v>
      </c>
      <c r="Q70" s="703">
        <f>'Emission factors - list'!$D$71</f>
        <v>0</v>
      </c>
      <c r="R70" s="653" t="s">
        <v>1162</v>
      </c>
      <c r="S70" s="961" t="b">
        <f t="shared" si="8"/>
        <v>1</v>
      </c>
      <c r="T70" s="816">
        <f t="shared" si="9"/>
        <v>0</v>
      </c>
      <c r="U70" s="816">
        <f>Table1[[#This Row],[Results 
(kg CO2-eq)]]/1000</f>
        <v>0</v>
      </c>
      <c r="V70" s="816">
        <f>IF(Table1[[#This Row],[Results incl. comp. (ton CO2-eq2]]&lt;0,Table1[[#This Row],[Results incl. comp. (ton CO2-eq2]],0)</f>
        <v>0</v>
      </c>
      <c r="W70" s="816">
        <f t="shared" si="10"/>
        <v>0</v>
      </c>
      <c r="X70" s="816">
        <f>Table1[[#This Row],[Results
(ton CO2-eq)]]</f>
        <v>0</v>
      </c>
    </row>
    <row r="71" spans="2:24">
      <c r="B71" s="1049" t="s">
        <v>1613</v>
      </c>
      <c r="C71" s="1049" t="s">
        <v>1164</v>
      </c>
      <c r="D71" s="1049" t="s">
        <v>1075</v>
      </c>
      <c r="E71" s="962" t="s">
        <v>1157</v>
      </c>
      <c r="F71" s="814">
        <f>IF(E71="Direct",_xlfn.XLOOKUP(D71,'Input import'!B:B,'Input import'!D:D,""),_xlfn.XLOOKUP(D71,'Facilitatory data'!E:E,'Facilitatory data'!G:G,""))</f>
        <v>0</v>
      </c>
      <c r="G71" s="653" t="str">
        <f>IF(E71="Direct",_xlfn.XLOOKUP(D71,'Input import'!B:B,'Input import'!E:E,_xlfn.XLOOKUP(D71,'Input sheet format'!F:F,'Input sheet format'!I:I,"")),_xlfn.XLOOKUP(D71,'Facilitatory data'!E:E,'Facilitatory data'!H:H,""))</f>
        <v>Traveller-km</v>
      </c>
      <c r="H71" s="810">
        <v>1</v>
      </c>
      <c r="I71" s="653" t="s">
        <v>1044</v>
      </c>
      <c r="J71" s="811">
        <v>1</v>
      </c>
      <c r="K71" s="653" t="s">
        <v>1044</v>
      </c>
      <c r="L71" s="1034" t="s">
        <v>1671</v>
      </c>
      <c r="M71" s="1034" t="s">
        <v>1671</v>
      </c>
      <c r="N71" s="1034" t="s">
        <v>1664</v>
      </c>
      <c r="Q71" s="703">
        <f>'Emission factors - list'!$D$64</f>
        <v>0</v>
      </c>
      <c r="R71" s="653" t="s">
        <v>1162</v>
      </c>
      <c r="S71" s="961" t="b">
        <f t="shared" si="8"/>
        <v>1</v>
      </c>
      <c r="T71" s="816">
        <f t="shared" si="9"/>
        <v>0</v>
      </c>
      <c r="U71" s="816">
        <f>Table1[[#This Row],[Results 
(kg CO2-eq)]]/1000</f>
        <v>0</v>
      </c>
      <c r="V71" s="816">
        <f>IF(Table1[[#This Row],[Results incl. comp. (ton CO2-eq2]]&lt;0,Table1[[#This Row],[Results incl. comp. (ton CO2-eq2]],0)</f>
        <v>0</v>
      </c>
      <c r="W71" s="816">
        <f t="shared" si="10"/>
        <v>0</v>
      </c>
      <c r="X71" s="816">
        <f>Table1[[#This Row],[Results
(ton CO2-eq)]]</f>
        <v>0</v>
      </c>
    </row>
    <row r="72" spans="2:24">
      <c r="B72" s="1049" t="s">
        <v>1613</v>
      </c>
      <c r="C72" s="1049" t="s">
        <v>1164</v>
      </c>
      <c r="D72" s="1049" t="s">
        <v>1076</v>
      </c>
      <c r="E72" s="962" t="s">
        <v>1157</v>
      </c>
      <c r="F72" s="814">
        <f>IF(E72="Direct",_xlfn.XLOOKUP(D72,'Input import'!B:B,'Input import'!D:D,""),_xlfn.XLOOKUP(D72,'Facilitatory data'!E:E,'Facilitatory data'!G:G,""))</f>
        <v>0</v>
      </c>
      <c r="G72" s="653" t="str">
        <f>IF(E72="Direct",_xlfn.XLOOKUP(D72,'Input import'!B:B,'Input import'!E:E,_xlfn.XLOOKUP(D72,'Input sheet format'!F:F,'Input sheet format'!I:I,"")),_xlfn.XLOOKUP(D72,'Facilitatory data'!E:E,'Facilitatory data'!H:H,""))</f>
        <v>Traveller-km</v>
      </c>
      <c r="H72" s="810">
        <v>1</v>
      </c>
      <c r="I72" s="653" t="s">
        <v>1044</v>
      </c>
      <c r="J72" s="811">
        <v>1</v>
      </c>
      <c r="K72" s="653" t="s">
        <v>1044</v>
      </c>
      <c r="L72" s="1034" t="s">
        <v>1673</v>
      </c>
      <c r="M72" s="1034" t="s">
        <v>1673</v>
      </c>
      <c r="N72" s="1095" t="s">
        <v>1713</v>
      </c>
      <c r="Q72" s="703">
        <f>'Emission factors - list'!$D$70</f>
        <v>9.1999999999999998E-2</v>
      </c>
      <c r="R72" s="653" t="s">
        <v>1162</v>
      </c>
      <c r="S72" s="961" t="b">
        <f t="shared" si="8"/>
        <v>1</v>
      </c>
      <c r="T72" s="816">
        <f t="shared" si="9"/>
        <v>0</v>
      </c>
      <c r="U72" s="816">
        <f>Table1[[#This Row],[Results 
(kg CO2-eq)]]/1000</f>
        <v>0</v>
      </c>
      <c r="V72" s="816">
        <f>IF(Table1[[#This Row],[Results incl. comp. (ton CO2-eq2]]&lt;0,Table1[[#This Row],[Results incl. comp. (ton CO2-eq2]],0)</f>
        <v>0</v>
      </c>
      <c r="W72" s="816">
        <f t="shared" si="10"/>
        <v>0</v>
      </c>
      <c r="X72" s="816">
        <f>Table1[[#This Row],[Results
(ton CO2-eq)]]</f>
        <v>0</v>
      </c>
    </row>
    <row r="73" spans="2:24">
      <c r="B73" s="1049" t="s">
        <v>1613</v>
      </c>
      <c r="C73" s="1049" t="s">
        <v>1164</v>
      </c>
      <c r="D73" s="1049" t="s">
        <v>1077</v>
      </c>
      <c r="E73" s="962" t="s">
        <v>1157</v>
      </c>
      <c r="F73" s="814">
        <f>IF(E73="Direct",_xlfn.XLOOKUP(D73,'Input import'!B:B,'Input import'!D:D,""),_xlfn.XLOOKUP(D73,'Facilitatory data'!E:E,'Facilitatory data'!G:G,""))</f>
        <v>0</v>
      </c>
      <c r="G73" s="653" t="str">
        <f>IF(E73="Direct",_xlfn.XLOOKUP(D73,'Input import'!B:B,'Input import'!E:E,_xlfn.XLOOKUP(D73,'Input sheet format'!F:F,'Input sheet format'!I:I,"")),_xlfn.XLOOKUP(D73,'Facilitatory data'!E:E,'Facilitatory data'!H:H,""))</f>
        <v>Traveller-km</v>
      </c>
      <c r="H73" s="810">
        <v>1</v>
      </c>
      <c r="I73" s="653" t="s">
        <v>1044</v>
      </c>
      <c r="J73" s="811">
        <v>1</v>
      </c>
      <c r="K73" s="653" t="s">
        <v>1044</v>
      </c>
      <c r="L73" s="1034" t="s">
        <v>1673</v>
      </c>
      <c r="M73" s="1034" t="s">
        <v>1673</v>
      </c>
      <c r="N73" s="1034" t="s">
        <v>1664</v>
      </c>
      <c r="Q73" s="703">
        <f>'Emission factors - list'!$D$64</f>
        <v>0</v>
      </c>
      <c r="R73" s="653" t="s">
        <v>1162</v>
      </c>
      <c r="S73" s="961" t="b">
        <f t="shared" si="8"/>
        <v>1</v>
      </c>
      <c r="T73" s="816">
        <f t="shared" si="9"/>
        <v>0</v>
      </c>
      <c r="U73" s="816">
        <f>Table1[[#This Row],[Results 
(kg CO2-eq)]]/1000</f>
        <v>0</v>
      </c>
      <c r="V73" s="816">
        <f>IF(Table1[[#This Row],[Results incl. comp. (ton CO2-eq2]]&lt;0,Table1[[#This Row],[Results incl. comp. (ton CO2-eq2]],0)</f>
        <v>0</v>
      </c>
      <c r="W73" s="816">
        <f t="shared" si="10"/>
        <v>0</v>
      </c>
      <c r="X73" s="816">
        <f>Table1[[#This Row],[Results
(ton CO2-eq)]]</f>
        <v>0</v>
      </c>
    </row>
    <row r="74" spans="2:24">
      <c r="B74" s="1049" t="s">
        <v>1613</v>
      </c>
      <c r="C74" s="1049" t="s">
        <v>1164</v>
      </c>
      <c r="D74" s="1049" t="s">
        <v>1078</v>
      </c>
      <c r="E74" s="962" t="s">
        <v>1157</v>
      </c>
      <c r="F74" s="814">
        <f>IF(E74="Direct",_xlfn.XLOOKUP(D74,'Input import'!B:B,'Input import'!D:D,""),_xlfn.XLOOKUP(D74,'Facilitatory data'!E:E,'Facilitatory data'!G:G,""))</f>
        <v>0</v>
      </c>
      <c r="G74" s="653" t="str">
        <f>IF(E74="Direct",_xlfn.XLOOKUP(D74,'Input import'!B:B,'Input import'!E:E,_xlfn.XLOOKUP(D74,'Input sheet format'!F:F,'Input sheet format'!I:I,"")),_xlfn.XLOOKUP(D74,'Facilitatory data'!E:E,'Facilitatory data'!H:H,""))</f>
        <v>Traveller-km</v>
      </c>
      <c r="H74" s="1137">
        <f>1/'Facilitatory data'!G263</f>
        <v>0.5</v>
      </c>
      <c r="I74" s="653" t="s">
        <v>1131</v>
      </c>
      <c r="J74" s="811">
        <v>1</v>
      </c>
      <c r="K74" s="653" t="s">
        <v>1131</v>
      </c>
      <c r="L74" s="1034" t="s">
        <v>1672</v>
      </c>
      <c r="M74" s="1034" t="s">
        <v>1672</v>
      </c>
      <c r="N74" s="1095" t="s">
        <v>1713</v>
      </c>
      <c r="Q74" s="703">
        <f>'Emission factors - list'!$D$66</f>
        <v>0.191</v>
      </c>
      <c r="R74" s="653" t="s">
        <v>1163</v>
      </c>
      <c r="S74" s="961" t="b">
        <f t="shared" si="8"/>
        <v>1</v>
      </c>
      <c r="T74" s="816">
        <f t="shared" si="9"/>
        <v>0</v>
      </c>
      <c r="U74" s="816">
        <f>Table1[[#This Row],[Results 
(kg CO2-eq)]]/1000</f>
        <v>0</v>
      </c>
      <c r="V74" s="816">
        <f>IF(Table1[[#This Row],[Results incl. comp. (ton CO2-eq2]]&lt;0,Table1[[#This Row],[Results incl. comp. (ton CO2-eq2]],0)</f>
        <v>0</v>
      </c>
      <c r="W74" s="816">
        <f t="shared" si="10"/>
        <v>0</v>
      </c>
      <c r="X74" s="816">
        <f>Table1[[#This Row],[Results
(ton CO2-eq)]]</f>
        <v>0</v>
      </c>
    </row>
    <row r="75" spans="2:24">
      <c r="B75" s="1049" t="s">
        <v>1613</v>
      </c>
      <c r="C75" s="1049" t="s">
        <v>1164</v>
      </c>
      <c r="D75" s="1049" t="s">
        <v>1079</v>
      </c>
      <c r="E75" s="962" t="s">
        <v>1157</v>
      </c>
      <c r="F75" s="814">
        <f>IF(E75="Direct",_xlfn.XLOOKUP(D75,'Input import'!B:B,'Input import'!D:D,""),_xlfn.XLOOKUP(D75,'Facilitatory data'!E:E,'Facilitatory data'!G:G,""))</f>
        <v>0</v>
      </c>
      <c r="G75" s="653" t="str">
        <f>IF(E75="Direct",_xlfn.XLOOKUP(D75,'Input import'!B:B,'Input import'!E:E,_xlfn.XLOOKUP(D75,'Input sheet format'!F:F,'Input sheet format'!I:I,"")),_xlfn.XLOOKUP(D75,'Facilitatory data'!E:E,'Facilitatory data'!H:H,""))</f>
        <v>Traveller-km</v>
      </c>
      <c r="H75" s="1137">
        <f>1/'Facilitatory data'!G264</f>
        <v>0.5</v>
      </c>
      <c r="I75" s="653" t="s">
        <v>1131</v>
      </c>
      <c r="J75" s="811">
        <v>1</v>
      </c>
      <c r="K75" s="653" t="s">
        <v>1131</v>
      </c>
      <c r="L75" s="1034" t="s">
        <v>1672</v>
      </c>
      <c r="M75" s="1034" t="s">
        <v>1672</v>
      </c>
      <c r="N75" s="1034" t="s">
        <v>1664</v>
      </c>
      <c r="Q75" s="703">
        <f>'Emission factors - list'!$D$67</f>
        <v>6.2E-2</v>
      </c>
      <c r="R75" s="653" t="s">
        <v>1163</v>
      </c>
      <c r="S75" s="961" t="b">
        <f t="shared" si="8"/>
        <v>1</v>
      </c>
      <c r="T75" s="816">
        <f t="shared" si="9"/>
        <v>0</v>
      </c>
      <c r="U75" s="816">
        <f>Table1[[#This Row],[Results 
(kg CO2-eq)]]/1000</f>
        <v>0</v>
      </c>
      <c r="V75" s="816">
        <f>IF(Table1[[#This Row],[Results incl. comp. (ton CO2-eq2]]&lt;0,Table1[[#This Row],[Results incl. comp. (ton CO2-eq2]],0)</f>
        <v>0</v>
      </c>
      <c r="W75" s="816">
        <f t="shared" si="10"/>
        <v>0</v>
      </c>
      <c r="X75" s="816">
        <f>Table1[[#This Row],[Results
(ton CO2-eq)]]</f>
        <v>0</v>
      </c>
    </row>
    <row r="76" spans="2:24">
      <c r="B76" s="1049" t="s">
        <v>1613</v>
      </c>
      <c r="C76" s="1049" t="s">
        <v>1164</v>
      </c>
      <c r="D76" s="1049" t="s">
        <v>1080</v>
      </c>
      <c r="E76" s="962" t="s">
        <v>1157</v>
      </c>
      <c r="F76" s="814">
        <f>IF(E76="Direct",_xlfn.XLOOKUP(D76,'Input import'!B:B,'Input import'!D:D,""),_xlfn.XLOOKUP(D76,'Facilitatory data'!E:E,'Facilitatory data'!G:G,""))</f>
        <v>0</v>
      </c>
      <c r="G76" s="653" t="str">
        <f>IF(E76="Direct",_xlfn.XLOOKUP(D76,'Input import'!B:B,'Input import'!E:E,_xlfn.XLOOKUP(D76,'Input sheet format'!F:F,'Input sheet format'!I:I,"")),_xlfn.XLOOKUP(D76,'Facilitatory data'!E:E,'Facilitatory data'!H:H,""))</f>
        <v>Traveller-km</v>
      </c>
      <c r="H76" s="810">
        <v>1</v>
      </c>
      <c r="I76" s="653" t="s">
        <v>1044</v>
      </c>
      <c r="J76" s="811">
        <v>1</v>
      </c>
      <c r="K76" s="653" t="s">
        <v>1044</v>
      </c>
      <c r="L76" s="1034" t="s">
        <v>1674</v>
      </c>
      <c r="M76" s="1034" t="s">
        <v>1674</v>
      </c>
      <c r="N76" s="1095" t="s">
        <v>1713</v>
      </c>
      <c r="Q76" s="703">
        <f>'Emission factors - list'!$D$69</f>
        <v>1.9E-2</v>
      </c>
      <c r="R76" s="653" t="s">
        <v>1162</v>
      </c>
      <c r="S76" s="961" t="b">
        <f t="shared" si="8"/>
        <v>1</v>
      </c>
      <c r="T76" s="816">
        <f t="shared" si="9"/>
        <v>0</v>
      </c>
      <c r="U76" s="816">
        <f>Table1[[#This Row],[Results 
(kg CO2-eq)]]/1000</f>
        <v>0</v>
      </c>
      <c r="V76" s="816">
        <f>IF(Table1[[#This Row],[Results incl. comp. (ton CO2-eq2]]&lt;0,Table1[[#This Row],[Results incl. comp. (ton CO2-eq2]],0)</f>
        <v>0</v>
      </c>
      <c r="W76" s="816">
        <f t="shared" si="10"/>
        <v>0</v>
      </c>
      <c r="X76" s="816">
        <f>Table1[[#This Row],[Results
(ton CO2-eq)]]</f>
        <v>0</v>
      </c>
    </row>
    <row r="77" spans="2:24">
      <c r="B77" s="1049" t="s">
        <v>1613</v>
      </c>
      <c r="C77" s="1049" t="s">
        <v>1164</v>
      </c>
      <c r="D77" s="1049" t="s">
        <v>1081</v>
      </c>
      <c r="E77" s="962" t="s">
        <v>1157</v>
      </c>
      <c r="F77" s="814">
        <f>IF(E77="Direct",_xlfn.XLOOKUP(D77,'Input import'!B:B,'Input import'!D:D,""),_xlfn.XLOOKUP(D77,'Facilitatory data'!E:E,'Facilitatory data'!G:G,""))</f>
        <v>0</v>
      </c>
      <c r="G77" s="653" t="str">
        <f>IF(E77="Direct",_xlfn.XLOOKUP(D77,'Input import'!B:B,'Input import'!E:E,_xlfn.XLOOKUP(D77,'Input sheet format'!F:F,'Input sheet format'!I:I,"")),_xlfn.XLOOKUP(D77,'Facilitatory data'!E:E,'Facilitatory data'!H:H,""))</f>
        <v>Traveller-km</v>
      </c>
      <c r="H77" s="810">
        <v>1</v>
      </c>
      <c r="I77" s="653" t="s">
        <v>1044</v>
      </c>
      <c r="J77" s="811">
        <v>1</v>
      </c>
      <c r="K77" s="653" t="s">
        <v>1044</v>
      </c>
      <c r="L77" s="1034" t="s">
        <v>1674</v>
      </c>
      <c r="M77" s="1034" t="s">
        <v>1674</v>
      </c>
      <c r="N77" s="1034" t="s">
        <v>1664</v>
      </c>
      <c r="Q77" s="703">
        <f>'Emission factors - list'!$D$68</f>
        <v>0</v>
      </c>
      <c r="R77" s="653" t="s">
        <v>1162</v>
      </c>
      <c r="S77" s="961" t="b">
        <f t="shared" si="8"/>
        <v>1</v>
      </c>
      <c r="T77" s="816">
        <f t="shared" si="9"/>
        <v>0</v>
      </c>
      <c r="U77" s="816">
        <f>Table1[[#This Row],[Results 
(kg CO2-eq)]]/1000</f>
        <v>0</v>
      </c>
      <c r="V77" s="816">
        <f>IF(Table1[[#This Row],[Results incl. comp. (ton CO2-eq2]]&lt;0,Table1[[#This Row],[Results incl. comp. (ton CO2-eq2]],0)</f>
        <v>0</v>
      </c>
      <c r="W77" s="816">
        <f t="shared" si="10"/>
        <v>0</v>
      </c>
      <c r="X77" s="816">
        <f>Table1[[#This Row],[Results
(ton CO2-eq)]]</f>
        <v>0</v>
      </c>
    </row>
    <row r="78" spans="2:24">
      <c r="B78" s="1049" t="s">
        <v>1613</v>
      </c>
      <c r="C78" s="1049" t="s">
        <v>1164</v>
      </c>
      <c r="D78" s="1049" t="s">
        <v>1082</v>
      </c>
      <c r="E78" s="962" t="s">
        <v>1157</v>
      </c>
      <c r="F78" s="814">
        <f>IF(E78="Direct",_xlfn.XLOOKUP(D78,'Input import'!B:B,'Input import'!D:D,""),_xlfn.XLOOKUP(D78,'Facilitatory data'!E:E,'Facilitatory data'!G:G,""))</f>
        <v>0</v>
      </c>
      <c r="G78" s="653" t="str">
        <f>IF(E78="Direct",_xlfn.XLOOKUP(D78,'Input import'!B:B,'Input import'!E:E,_xlfn.XLOOKUP(D78,'Input sheet format'!F:F,'Input sheet format'!I:I,"")),_xlfn.XLOOKUP(D78,'Facilitatory data'!E:E,'Facilitatory data'!H:H,""))</f>
        <v>Traveller-km</v>
      </c>
      <c r="H78" s="810">
        <v>1</v>
      </c>
      <c r="I78" s="653" t="s">
        <v>1044</v>
      </c>
      <c r="J78" s="811">
        <v>1</v>
      </c>
      <c r="K78" s="653" t="s">
        <v>1044</v>
      </c>
      <c r="L78" s="1034" t="s">
        <v>1287</v>
      </c>
      <c r="M78" s="1034" t="s">
        <v>1287</v>
      </c>
      <c r="N78" s="1034" t="s">
        <v>1664</v>
      </c>
      <c r="Q78" s="703">
        <f>'Emission factors - list'!$D$65</f>
        <v>0</v>
      </c>
      <c r="R78" s="653" t="s">
        <v>1162</v>
      </c>
      <c r="S78" s="961" t="b">
        <f t="shared" si="8"/>
        <v>1</v>
      </c>
      <c r="T78" s="816">
        <f t="shared" si="9"/>
        <v>0</v>
      </c>
      <c r="U78" s="816">
        <f>Table1[[#This Row],[Results 
(kg CO2-eq)]]/1000</f>
        <v>0</v>
      </c>
      <c r="V78" s="816">
        <f>IF(Table1[[#This Row],[Results incl. comp. (ton CO2-eq2]]&lt;0,Table1[[#This Row],[Results incl. comp. (ton CO2-eq2]],0)</f>
        <v>0</v>
      </c>
      <c r="W78" s="816">
        <f t="shared" si="10"/>
        <v>0</v>
      </c>
      <c r="X78" s="816">
        <f>Table1[[#This Row],[Results
(ton CO2-eq)]]</f>
        <v>0</v>
      </c>
    </row>
    <row r="79" spans="2:24">
      <c r="B79" s="1049" t="s">
        <v>1613</v>
      </c>
      <c r="C79" s="1049" t="s">
        <v>1164</v>
      </c>
      <c r="D79" s="1049" t="s">
        <v>1083</v>
      </c>
      <c r="E79" s="962" t="s">
        <v>1157</v>
      </c>
      <c r="F79" s="814">
        <f>IF(E79="Direct",_xlfn.XLOOKUP(D79,'Input import'!B:B,'Input import'!D:D,""),_xlfn.XLOOKUP(D79,'Facilitatory data'!E:E,'Facilitatory data'!G:G,""))</f>
        <v>0</v>
      </c>
      <c r="G79" s="653" t="str">
        <f>IF(E79="Direct",_xlfn.XLOOKUP(D79,'Input import'!B:B,'Input import'!E:E,_xlfn.XLOOKUP(D79,'Input sheet format'!F:F,'Input sheet format'!I:I,"")),_xlfn.XLOOKUP(D79,'Facilitatory data'!E:E,'Facilitatory data'!H:H,""))</f>
        <v>Traveller-km</v>
      </c>
      <c r="H79" s="810">
        <v>1</v>
      </c>
      <c r="I79" s="653" t="s">
        <v>1044</v>
      </c>
      <c r="J79" s="811">
        <v>1</v>
      </c>
      <c r="K79" s="653" t="s">
        <v>1044</v>
      </c>
      <c r="L79" s="1034" t="s">
        <v>1300</v>
      </c>
      <c r="M79" s="1034" t="s">
        <v>1300</v>
      </c>
      <c r="N79" s="1095" t="s">
        <v>1713</v>
      </c>
      <c r="Q79" s="703">
        <f>'Emission factors - list'!$D$72</f>
        <v>0.182</v>
      </c>
      <c r="R79" s="653" t="s">
        <v>1162</v>
      </c>
      <c r="S79" s="961" t="b">
        <f t="shared" si="8"/>
        <v>1</v>
      </c>
      <c r="T79" s="816">
        <f t="shared" si="9"/>
        <v>0</v>
      </c>
      <c r="U79" s="816">
        <f>Table1[[#This Row],[Results 
(kg CO2-eq)]]/1000</f>
        <v>0</v>
      </c>
      <c r="V79" s="816">
        <f>IF(Table1[[#This Row],[Results incl. comp. (ton CO2-eq2]]&lt;0,Table1[[#This Row],[Results incl. comp. (ton CO2-eq2]],0)</f>
        <v>0</v>
      </c>
      <c r="W79" s="816">
        <f t="shared" si="10"/>
        <v>0</v>
      </c>
      <c r="X79" s="816">
        <f>Table1[[#This Row],[Results
(ton CO2-eq)]]</f>
        <v>0</v>
      </c>
    </row>
    <row r="80" spans="2:24">
      <c r="B80" s="1049" t="s">
        <v>1613</v>
      </c>
      <c r="C80" s="1049" t="s">
        <v>1164</v>
      </c>
      <c r="D80" s="1049" t="s">
        <v>1084</v>
      </c>
      <c r="E80" s="962" t="s">
        <v>1157</v>
      </c>
      <c r="F80" s="814">
        <f>IF(E80="Direct",_xlfn.XLOOKUP(D80,'Input import'!B:B,'Input import'!D:D,""),_xlfn.XLOOKUP(D80,'Facilitatory data'!E:E,'Facilitatory data'!G:G,""))</f>
        <v>0</v>
      </c>
      <c r="G80" s="653" t="str">
        <f>IF(E80="Direct",_xlfn.XLOOKUP(D80,'Input import'!B:B,'Input import'!E:E,_xlfn.XLOOKUP(D80,'Input sheet format'!F:F,'Input sheet format'!I:I,"")),_xlfn.XLOOKUP(D80,'Facilitatory data'!E:E,'Facilitatory data'!H:H,""))</f>
        <v>Traveller-km</v>
      </c>
      <c r="H80" s="810">
        <v>1</v>
      </c>
      <c r="I80" s="653" t="s">
        <v>1044</v>
      </c>
      <c r="J80" s="811">
        <v>1</v>
      </c>
      <c r="K80" s="653" t="s">
        <v>1044</v>
      </c>
      <c r="L80" s="1034" t="s">
        <v>1675</v>
      </c>
      <c r="M80" s="1034" t="s">
        <v>1675</v>
      </c>
      <c r="N80" s="1095" t="s">
        <v>1713</v>
      </c>
      <c r="Q80" s="703">
        <f>'Emission factors - list'!$D$73</f>
        <v>1.8738000000000001E-2</v>
      </c>
      <c r="R80" s="653" t="s">
        <v>1162</v>
      </c>
      <c r="S80" s="961" t="b">
        <f t="shared" si="8"/>
        <v>1</v>
      </c>
      <c r="T80" s="816">
        <f t="shared" si="9"/>
        <v>0</v>
      </c>
      <c r="U80" s="816">
        <f>Table1[[#This Row],[Results 
(kg CO2-eq)]]/1000</f>
        <v>0</v>
      </c>
      <c r="V80" s="816">
        <f>IF(Table1[[#This Row],[Results incl. comp. (ton CO2-eq2]]&lt;0,Table1[[#This Row],[Results incl. comp. (ton CO2-eq2]],0)</f>
        <v>0</v>
      </c>
      <c r="W80" s="816">
        <f t="shared" si="10"/>
        <v>0</v>
      </c>
      <c r="X80" s="816">
        <f>Table1[[#This Row],[Results
(ton CO2-eq)]]</f>
        <v>0</v>
      </c>
    </row>
    <row r="81" spans="2:24">
      <c r="B81" s="1049" t="s">
        <v>1613</v>
      </c>
      <c r="C81" s="1049" t="s">
        <v>1164</v>
      </c>
      <c r="D81" s="1049" t="s">
        <v>1085</v>
      </c>
      <c r="E81" s="962" t="s">
        <v>1157</v>
      </c>
      <c r="F81" s="814">
        <f>IF(E81="Direct",_xlfn.XLOOKUP(D81,'Input import'!B:B,'Input import'!D:D,""),_xlfn.XLOOKUP(D81,'Facilitatory data'!E:E,'Facilitatory data'!G:G,""))</f>
        <v>0</v>
      </c>
      <c r="G81" s="653" t="str">
        <f>IF(E81="Direct",_xlfn.XLOOKUP(D81,'Input import'!B:B,'Input import'!E:E,_xlfn.XLOOKUP(D81,'Input sheet format'!F:F,'Input sheet format'!I:I,"")),_xlfn.XLOOKUP(D81,'Facilitatory data'!E:E,'Facilitatory data'!H:H,""))</f>
        <v>Traveller-km</v>
      </c>
      <c r="H81" s="810">
        <v>1</v>
      </c>
      <c r="I81" s="653" t="s">
        <v>1044</v>
      </c>
      <c r="J81" s="811">
        <v>1</v>
      </c>
      <c r="K81" s="653" t="s">
        <v>1044</v>
      </c>
      <c r="L81" s="1034" t="s">
        <v>1675</v>
      </c>
      <c r="M81" s="1034" t="s">
        <v>1675</v>
      </c>
      <c r="N81" s="1034" t="s">
        <v>1664</v>
      </c>
      <c r="Q81" s="703">
        <f>'Emission factors - list'!$D$74</f>
        <v>0</v>
      </c>
      <c r="R81" s="653" t="s">
        <v>1162</v>
      </c>
      <c r="S81" s="961" t="b">
        <f t="shared" si="8"/>
        <v>1</v>
      </c>
      <c r="T81" s="816">
        <f t="shared" si="9"/>
        <v>0</v>
      </c>
      <c r="U81" s="816">
        <f>Table1[[#This Row],[Results 
(kg CO2-eq)]]/1000</f>
        <v>0</v>
      </c>
      <c r="V81" s="816">
        <f>IF(Table1[[#This Row],[Results incl. comp. (ton CO2-eq2]]&lt;0,Table1[[#This Row],[Results incl. comp. (ton CO2-eq2]],0)</f>
        <v>0</v>
      </c>
      <c r="W81" s="816">
        <f t="shared" si="10"/>
        <v>0</v>
      </c>
      <c r="X81" s="816">
        <f>Table1[[#This Row],[Results
(ton CO2-eq)]]</f>
        <v>0</v>
      </c>
    </row>
    <row r="82" spans="2:24">
      <c r="B82" s="1049" t="s">
        <v>1613</v>
      </c>
      <c r="C82" s="1049" t="s">
        <v>1164</v>
      </c>
      <c r="D82" s="1049" t="s">
        <v>1086</v>
      </c>
      <c r="E82" s="962" t="s">
        <v>1157</v>
      </c>
      <c r="F82" s="814">
        <f>IF(E82="Direct",_xlfn.XLOOKUP(D82,'Input import'!B:B,'Input import'!D:D,""),_xlfn.XLOOKUP(D82,'Facilitatory data'!E:E,'Facilitatory data'!G:G,""))</f>
        <v>0</v>
      </c>
      <c r="G82" s="653" t="str">
        <f>IF(E82="Direct",_xlfn.XLOOKUP(D82,'Input import'!B:B,'Input import'!E:E,_xlfn.XLOOKUP(D82,'Input sheet format'!F:F,'Input sheet format'!I:I,"")),_xlfn.XLOOKUP(D82,'Facilitatory data'!E:E,'Facilitatory data'!H:H,""))</f>
        <v>Traveller-km</v>
      </c>
      <c r="H82" s="810">
        <v>1</v>
      </c>
      <c r="I82" s="653" t="s">
        <v>1044</v>
      </c>
      <c r="J82" s="811">
        <v>1</v>
      </c>
      <c r="K82" s="653" t="s">
        <v>1044</v>
      </c>
      <c r="L82" s="1034" t="s">
        <v>1677</v>
      </c>
      <c r="M82" s="1034" t="s">
        <v>1677</v>
      </c>
      <c r="N82" s="1095" t="s">
        <v>1713</v>
      </c>
      <c r="Q82" s="703">
        <f>'Emission factors - list'!$D$69</f>
        <v>1.9E-2</v>
      </c>
      <c r="R82" s="653" t="s">
        <v>1162</v>
      </c>
      <c r="S82" s="961" t="b">
        <f t="shared" si="8"/>
        <v>1</v>
      </c>
      <c r="T82" s="816">
        <f t="shared" si="9"/>
        <v>0</v>
      </c>
      <c r="U82" s="816">
        <f>Table1[[#This Row],[Results 
(kg CO2-eq)]]/1000</f>
        <v>0</v>
      </c>
      <c r="V82" s="816">
        <f>IF(Table1[[#This Row],[Results incl. comp. (ton CO2-eq2]]&lt;0,Table1[[#This Row],[Results incl. comp. (ton CO2-eq2]],0)</f>
        <v>0</v>
      </c>
      <c r="W82" s="816">
        <f t="shared" si="10"/>
        <v>0</v>
      </c>
      <c r="X82" s="816">
        <f>Table1[[#This Row],[Results
(ton CO2-eq)]]</f>
        <v>0</v>
      </c>
    </row>
    <row r="83" spans="2:24">
      <c r="B83" s="1049" t="s">
        <v>1613</v>
      </c>
      <c r="C83" s="1049" t="s">
        <v>1164</v>
      </c>
      <c r="D83" s="1049" t="s">
        <v>1087</v>
      </c>
      <c r="E83" s="962" t="s">
        <v>1157</v>
      </c>
      <c r="F83" s="814">
        <f>IF(E83="Direct",_xlfn.XLOOKUP(D83,'Input import'!B:B,'Input import'!D:D,""),_xlfn.XLOOKUP(D83,'Facilitatory data'!E:E,'Facilitatory data'!G:G,""))</f>
        <v>0</v>
      </c>
      <c r="G83" s="653" t="str">
        <f>IF(E83="Direct",_xlfn.XLOOKUP(D83,'Input import'!B:B,'Input import'!E:E,_xlfn.XLOOKUP(D83,'Input sheet format'!F:F,'Input sheet format'!I:I,"")),_xlfn.XLOOKUP(D83,'Facilitatory data'!E:E,'Facilitatory data'!H:H,""))</f>
        <v>Traveller-km</v>
      </c>
      <c r="H83" s="810">
        <v>1</v>
      </c>
      <c r="I83" s="653" t="s">
        <v>1044</v>
      </c>
      <c r="J83" s="811">
        <v>1</v>
      </c>
      <c r="K83" s="653" t="s">
        <v>1044</v>
      </c>
      <c r="L83" s="1034" t="s">
        <v>1677</v>
      </c>
      <c r="M83" s="1034" t="s">
        <v>1677</v>
      </c>
      <c r="N83" s="1034" t="s">
        <v>1664</v>
      </c>
      <c r="Q83" s="703">
        <f>'Emission factors - list'!$D$68</f>
        <v>0</v>
      </c>
      <c r="R83" s="653" t="s">
        <v>1162</v>
      </c>
      <c r="S83" s="961" t="b">
        <f t="shared" si="8"/>
        <v>1</v>
      </c>
      <c r="T83" s="816">
        <f t="shared" si="9"/>
        <v>0</v>
      </c>
      <c r="U83" s="816">
        <f>Table1[[#This Row],[Results 
(kg CO2-eq)]]/1000</f>
        <v>0</v>
      </c>
      <c r="V83" s="816">
        <f>IF(Table1[[#This Row],[Results incl. comp. (ton CO2-eq2]]&lt;0,Table1[[#This Row],[Results incl. comp. (ton CO2-eq2]],0)</f>
        <v>0</v>
      </c>
      <c r="W83" s="816">
        <f t="shared" si="10"/>
        <v>0</v>
      </c>
      <c r="X83" s="816">
        <f>Table1[[#This Row],[Results
(ton CO2-eq)]]</f>
        <v>0</v>
      </c>
    </row>
    <row r="84" spans="2:24">
      <c r="B84" s="1049" t="s">
        <v>1613</v>
      </c>
      <c r="C84" s="1049" t="s">
        <v>1165</v>
      </c>
      <c r="D84" s="1049" t="s">
        <v>1115</v>
      </c>
      <c r="E84" s="962" t="s">
        <v>1157</v>
      </c>
      <c r="F84" s="814">
        <f>IF(E84="Direct",_xlfn.XLOOKUP(D84,'Input import'!B:B,'Input import'!D:D,""),_xlfn.XLOOKUP(D84,'Facilitatory data'!E:E,'Facilitatory data'!G:G,""))</f>
        <v>0</v>
      </c>
      <c r="G84" s="653" t="str">
        <f>IF(E84="Direct",_xlfn.XLOOKUP(D84,'Input import'!B:B,'Input import'!E:E,_xlfn.XLOOKUP(D84,'Input sheet format'!F:F,'Input sheet format'!I:I,"")),_xlfn.XLOOKUP(D84,'Facilitatory data'!E:E,'Facilitatory data'!H:H,""))</f>
        <v>Traveller-km</v>
      </c>
      <c r="H84" s="810">
        <v>1</v>
      </c>
      <c r="I84" s="653" t="s">
        <v>1044</v>
      </c>
      <c r="J84" s="811">
        <v>1</v>
      </c>
      <c r="K84" s="653" t="s">
        <v>1044</v>
      </c>
      <c r="L84" s="1034" t="s">
        <v>1670</v>
      </c>
      <c r="M84" s="1034" t="s">
        <v>1670</v>
      </c>
      <c r="N84" s="1034" t="s">
        <v>1664</v>
      </c>
      <c r="Q84" s="703">
        <f>'Emission factors - list'!$D$71</f>
        <v>0</v>
      </c>
      <c r="R84" s="653" t="s">
        <v>1162</v>
      </c>
      <c r="S84" s="961" t="b">
        <f t="shared" si="8"/>
        <v>1</v>
      </c>
      <c r="T84" s="816">
        <f t="shared" si="9"/>
        <v>0</v>
      </c>
      <c r="U84" s="816">
        <f>Table1[[#This Row],[Results 
(kg CO2-eq)]]/1000</f>
        <v>0</v>
      </c>
      <c r="V84" s="816">
        <f>IF(Table1[[#This Row],[Results incl. comp. (ton CO2-eq2]]&lt;0,Table1[[#This Row],[Results incl. comp. (ton CO2-eq2]],0)</f>
        <v>0</v>
      </c>
      <c r="W84" s="816">
        <f t="shared" si="10"/>
        <v>0</v>
      </c>
      <c r="X84" s="816">
        <f>Table1[[#This Row],[Results
(ton CO2-eq)]]</f>
        <v>0</v>
      </c>
    </row>
    <row r="85" spans="2:24">
      <c r="B85" s="1049" t="s">
        <v>1613</v>
      </c>
      <c r="C85" s="1049" t="s">
        <v>1165</v>
      </c>
      <c r="D85" s="1049" t="s">
        <v>1116</v>
      </c>
      <c r="E85" s="962" t="s">
        <v>1157</v>
      </c>
      <c r="F85" s="814">
        <f>IF(E85="Direct",_xlfn.XLOOKUP(D85,'Input import'!B:B,'Input import'!D:D,""),_xlfn.XLOOKUP(D85,'Facilitatory data'!E:E,'Facilitatory data'!G:G,""))</f>
        <v>0</v>
      </c>
      <c r="G85" s="653" t="str">
        <f>IF(E85="Direct",_xlfn.XLOOKUP(D85,'Input import'!B:B,'Input import'!E:E,_xlfn.XLOOKUP(D85,'Input sheet format'!F:F,'Input sheet format'!I:I,"")),_xlfn.XLOOKUP(D85,'Facilitatory data'!E:E,'Facilitatory data'!H:H,""))</f>
        <v>Traveller-km</v>
      </c>
      <c r="H85" s="810">
        <v>1</v>
      </c>
      <c r="I85" s="653" t="s">
        <v>1044</v>
      </c>
      <c r="J85" s="811">
        <v>1</v>
      </c>
      <c r="K85" s="653" t="s">
        <v>1044</v>
      </c>
      <c r="L85" s="1034" t="s">
        <v>1671</v>
      </c>
      <c r="M85" s="1034" t="s">
        <v>1671</v>
      </c>
      <c r="N85" s="1034" t="s">
        <v>1664</v>
      </c>
      <c r="Q85" s="703">
        <f>'Emission factors - list'!$D$64</f>
        <v>0</v>
      </c>
      <c r="R85" s="653" t="s">
        <v>1162</v>
      </c>
      <c r="S85" s="961" t="b">
        <f t="shared" si="8"/>
        <v>1</v>
      </c>
      <c r="T85" s="816">
        <f t="shared" si="9"/>
        <v>0</v>
      </c>
      <c r="U85" s="816">
        <f>Table1[[#This Row],[Results 
(kg CO2-eq)]]/1000</f>
        <v>0</v>
      </c>
      <c r="V85" s="816">
        <f>IF(Table1[[#This Row],[Results incl. comp. (ton CO2-eq2]]&lt;0,Table1[[#This Row],[Results incl. comp. (ton CO2-eq2]],0)</f>
        <v>0</v>
      </c>
      <c r="W85" s="816">
        <f t="shared" si="10"/>
        <v>0</v>
      </c>
      <c r="X85" s="816">
        <f>Table1[[#This Row],[Results
(ton CO2-eq)]]</f>
        <v>0</v>
      </c>
    </row>
    <row r="86" spans="2:24">
      <c r="B86" s="1049" t="s">
        <v>1613</v>
      </c>
      <c r="C86" s="1049" t="s">
        <v>1165</v>
      </c>
      <c r="D86" s="1049" t="s">
        <v>1117</v>
      </c>
      <c r="E86" s="962" t="s">
        <v>1157</v>
      </c>
      <c r="F86" s="814">
        <f>IF(E86="Direct",_xlfn.XLOOKUP(D86,'Input import'!B:B,'Input import'!D:D,""),_xlfn.XLOOKUP(D86,'Facilitatory data'!E:E,'Facilitatory data'!G:G,""))</f>
        <v>0</v>
      </c>
      <c r="G86" s="653" t="str">
        <f>IF(E86="Direct",_xlfn.XLOOKUP(D86,'Input import'!B:B,'Input import'!E:E,_xlfn.XLOOKUP(D86,'Input sheet format'!F:F,'Input sheet format'!I:I,"")),_xlfn.XLOOKUP(D86,'Facilitatory data'!E:E,'Facilitatory data'!H:H,""))</f>
        <v>Traveller-km</v>
      </c>
      <c r="H86" s="810">
        <v>1</v>
      </c>
      <c r="I86" s="653" t="s">
        <v>1044</v>
      </c>
      <c r="J86" s="811">
        <v>1</v>
      </c>
      <c r="K86" s="653" t="s">
        <v>1044</v>
      </c>
      <c r="L86" s="1034" t="s">
        <v>1673</v>
      </c>
      <c r="M86" s="1034" t="s">
        <v>1673</v>
      </c>
      <c r="N86" s="1095" t="s">
        <v>1713</v>
      </c>
      <c r="Q86" s="703">
        <f>'Emission factors - list'!$D$70</f>
        <v>9.1999999999999998E-2</v>
      </c>
      <c r="R86" s="653" t="s">
        <v>1162</v>
      </c>
      <c r="S86" s="961" t="b">
        <f t="shared" si="8"/>
        <v>1</v>
      </c>
      <c r="T86" s="816">
        <f t="shared" si="9"/>
        <v>0</v>
      </c>
      <c r="U86" s="816">
        <f>Table1[[#This Row],[Results 
(kg CO2-eq)]]/1000</f>
        <v>0</v>
      </c>
      <c r="V86" s="816">
        <f>IF(Table1[[#This Row],[Results incl. comp. (ton CO2-eq2]]&lt;0,Table1[[#This Row],[Results incl. comp. (ton CO2-eq2]],0)</f>
        <v>0</v>
      </c>
      <c r="W86" s="816">
        <f t="shared" si="10"/>
        <v>0</v>
      </c>
      <c r="X86" s="816">
        <f>Table1[[#This Row],[Results
(ton CO2-eq)]]</f>
        <v>0</v>
      </c>
    </row>
    <row r="87" spans="2:24">
      <c r="B87" s="1049" t="s">
        <v>1613</v>
      </c>
      <c r="C87" s="1049" t="s">
        <v>1165</v>
      </c>
      <c r="D87" s="1049" t="s">
        <v>1118</v>
      </c>
      <c r="E87" s="962" t="s">
        <v>1157</v>
      </c>
      <c r="F87" s="814">
        <f>IF(E87="Direct",_xlfn.XLOOKUP(D87,'Input import'!B:B,'Input import'!D:D,""),_xlfn.XLOOKUP(D87,'Facilitatory data'!E:E,'Facilitatory data'!G:G,""))</f>
        <v>0</v>
      </c>
      <c r="G87" s="653" t="str">
        <f>IF(E87="Direct",_xlfn.XLOOKUP(D87,'Input import'!B:B,'Input import'!E:E,_xlfn.XLOOKUP(D87,'Input sheet format'!F:F,'Input sheet format'!I:I,"")),_xlfn.XLOOKUP(D87,'Facilitatory data'!E:E,'Facilitatory data'!H:H,""))</f>
        <v>Traveller-km</v>
      </c>
      <c r="H87" s="810">
        <v>1</v>
      </c>
      <c r="I87" s="653" t="s">
        <v>1044</v>
      </c>
      <c r="J87" s="811">
        <v>1</v>
      </c>
      <c r="K87" s="653" t="s">
        <v>1044</v>
      </c>
      <c r="L87" s="1034" t="s">
        <v>1673</v>
      </c>
      <c r="M87" s="1034" t="s">
        <v>1673</v>
      </c>
      <c r="N87" s="1034" t="s">
        <v>1664</v>
      </c>
      <c r="Q87" s="703">
        <f>'Emission factors - list'!$D$64</f>
        <v>0</v>
      </c>
      <c r="R87" s="653" t="s">
        <v>1162</v>
      </c>
      <c r="S87" s="961" t="b">
        <f t="shared" si="8"/>
        <v>1</v>
      </c>
      <c r="T87" s="816">
        <f t="shared" si="9"/>
        <v>0</v>
      </c>
      <c r="U87" s="816">
        <f>Table1[[#This Row],[Results 
(kg CO2-eq)]]/1000</f>
        <v>0</v>
      </c>
      <c r="V87" s="816">
        <f>IF(Table1[[#This Row],[Results incl. comp. (ton CO2-eq2]]&lt;0,Table1[[#This Row],[Results incl. comp. (ton CO2-eq2]],0)</f>
        <v>0</v>
      </c>
      <c r="W87" s="816">
        <f t="shared" si="10"/>
        <v>0</v>
      </c>
      <c r="X87" s="816">
        <f>Table1[[#This Row],[Results
(ton CO2-eq)]]</f>
        <v>0</v>
      </c>
    </row>
    <row r="88" spans="2:24">
      <c r="B88" s="1049" t="s">
        <v>1613</v>
      </c>
      <c r="C88" s="1049" t="s">
        <v>1165</v>
      </c>
      <c r="D88" s="1049" t="s">
        <v>1119</v>
      </c>
      <c r="E88" s="962" t="s">
        <v>1157</v>
      </c>
      <c r="F88" s="814">
        <f>IF(E88="Direct",_xlfn.XLOOKUP(D88,'Input import'!B:B,'Input import'!D:D,""),_xlfn.XLOOKUP(D88,'Facilitatory data'!E:E,'Facilitatory data'!G:G,""))</f>
        <v>0</v>
      </c>
      <c r="G88" s="653" t="str">
        <f>IF(E88="Direct",_xlfn.XLOOKUP(D88,'Input import'!B:B,'Input import'!E:E,_xlfn.XLOOKUP(D88,'Input sheet format'!F:F,'Input sheet format'!I:I,"")),_xlfn.XLOOKUP(D88,'Facilitatory data'!E:E,'Facilitatory data'!H:H,""))</f>
        <v>Traveller-km</v>
      </c>
      <c r="H88" s="1137">
        <f>1/'Facilitatory data'!G267</f>
        <v>0.5</v>
      </c>
      <c r="I88" s="653" t="s">
        <v>1131</v>
      </c>
      <c r="J88" s="811">
        <v>1</v>
      </c>
      <c r="K88" s="653" t="s">
        <v>1131</v>
      </c>
      <c r="L88" s="1034" t="s">
        <v>1672</v>
      </c>
      <c r="M88" s="1034" t="s">
        <v>1672</v>
      </c>
      <c r="N88" s="1095" t="s">
        <v>1713</v>
      </c>
      <c r="P88" s="1097" t="s">
        <v>224</v>
      </c>
      <c r="Q88" s="703">
        <f>'Emission factors - list'!$D$66</f>
        <v>0.191</v>
      </c>
      <c r="R88" s="653" t="s">
        <v>1163</v>
      </c>
      <c r="S88" s="961" t="b">
        <f t="shared" si="8"/>
        <v>1</v>
      </c>
      <c r="T88" s="816">
        <f t="shared" si="9"/>
        <v>0</v>
      </c>
      <c r="U88" s="816">
        <f>Table1[[#This Row],[Results 
(kg CO2-eq)]]/1000</f>
        <v>0</v>
      </c>
      <c r="V88" s="816">
        <f>IF(Table1[[#This Row],[Results incl. comp. (ton CO2-eq2]]&lt;0,Table1[[#This Row],[Results incl. comp. (ton CO2-eq2]],0)</f>
        <v>0</v>
      </c>
      <c r="W88" s="816">
        <f t="shared" si="10"/>
        <v>0</v>
      </c>
      <c r="X88" s="816">
        <f>Table1[[#This Row],[Results
(ton CO2-eq)]]</f>
        <v>0</v>
      </c>
    </row>
    <row r="89" spans="2:24">
      <c r="B89" s="1049" t="s">
        <v>1613</v>
      </c>
      <c r="C89" s="1049" t="s">
        <v>1165</v>
      </c>
      <c r="D89" s="1049" t="s">
        <v>1120</v>
      </c>
      <c r="E89" s="962" t="s">
        <v>1157</v>
      </c>
      <c r="F89" s="814">
        <f>IF(E89="Direct",_xlfn.XLOOKUP(D89,'Input import'!B:B,'Input import'!D:D,""),_xlfn.XLOOKUP(D89,'Facilitatory data'!E:E,'Facilitatory data'!G:G,""))</f>
        <v>0</v>
      </c>
      <c r="G89" s="653" t="str">
        <f>IF(E89="Direct",_xlfn.XLOOKUP(D89,'Input import'!B:B,'Input import'!E:E,_xlfn.XLOOKUP(D89,'Input sheet format'!F:F,'Input sheet format'!I:I,"")),_xlfn.XLOOKUP(D89,'Facilitatory data'!E:E,'Facilitatory data'!H:H,""))</f>
        <v>Traveller-km</v>
      </c>
      <c r="H89" s="1137">
        <f>1/'Facilitatory data'!G268</f>
        <v>0.5</v>
      </c>
      <c r="I89" s="653" t="s">
        <v>1131</v>
      </c>
      <c r="J89" s="811">
        <v>1</v>
      </c>
      <c r="K89" s="653" t="s">
        <v>1131</v>
      </c>
      <c r="L89" s="1034" t="s">
        <v>1672</v>
      </c>
      <c r="M89" s="1034" t="s">
        <v>1672</v>
      </c>
      <c r="N89" s="1034" t="s">
        <v>1664</v>
      </c>
      <c r="Q89" s="703">
        <f>'Emission factors - list'!$D$67</f>
        <v>6.2E-2</v>
      </c>
      <c r="R89" s="653" t="s">
        <v>1163</v>
      </c>
      <c r="S89" s="961" t="b">
        <f t="shared" si="8"/>
        <v>1</v>
      </c>
      <c r="T89" s="816">
        <f t="shared" si="9"/>
        <v>0</v>
      </c>
      <c r="U89" s="816">
        <f>Table1[[#This Row],[Results 
(kg CO2-eq)]]/1000</f>
        <v>0</v>
      </c>
      <c r="V89" s="816">
        <f>IF(Table1[[#This Row],[Results incl. comp. (ton CO2-eq2]]&lt;0,Table1[[#This Row],[Results incl. comp. (ton CO2-eq2]],0)</f>
        <v>0</v>
      </c>
      <c r="W89" s="816">
        <f t="shared" si="10"/>
        <v>0</v>
      </c>
      <c r="X89" s="816">
        <f>Table1[[#This Row],[Results
(ton CO2-eq)]]</f>
        <v>0</v>
      </c>
    </row>
    <row r="90" spans="2:24">
      <c r="B90" s="1049" t="s">
        <v>1613</v>
      </c>
      <c r="C90" s="1049" t="s">
        <v>1165</v>
      </c>
      <c r="D90" s="1049" t="s">
        <v>1121</v>
      </c>
      <c r="E90" s="962" t="s">
        <v>1157</v>
      </c>
      <c r="F90" s="814">
        <f>IF(E90="Direct",_xlfn.XLOOKUP(D90,'Input import'!B:B,'Input import'!D:D,""),_xlfn.XLOOKUP(D90,'Facilitatory data'!E:E,'Facilitatory data'!G:G,""))</f>
        <v>0</v>
      </c>
      <c r="G90" s="653" t="str">
        <f>IF(E90="Direct",_xlfn.XLOOKUP(D90,'Input import'!B:B,'Input import'!E:E,_xlfn.XLOOKUP(D90,'Input sheet format'!F:F,'Input sheet format'!I:I,"")),_xlfn.XLOOKUP(D90,'Facilitatory data'!E:E,'Facilitatory data'!H:H,""))</f>
        <v>Traveller-km</v>
      </c>
      <c r="H90" s="810">
        <v>1</v>
      </c>
      <c r="I90" s="653" t="s">
        <v>1044</v>
      </c>
      <c r="J90" s="811">
        <v>1</v>
      </c>
      <c r="K90" s="653" t="s">
        <v>1044</v>
      </c>
      <c r="L90" s="1034" t="s">
        <v>1674</v>
      </c>
      <c r="M90" s="1034" t="s">
        <v>1674</v>
      </c>
      <c r="N90" s="1095" t="s">
        <v>1713</v>
      </c>
      <c r="Q90" s="703">
        <f>'Emission factors - list'!$D$69</f>
        <v>1.9E-2</v>
      </c>
      <c r="R90" s="653" t="s">
        <v>1162</v>
      </c>
      <c r="S90" s="961" t="b">
        <f t="shared" si="8"/>
        <v>1</v>
      </c>
      <c r="T90" s="816">
        <f t="shared" si="9"/>
        <v>0</v>
      </c>
      <c r="U90" s="816">
        <f>Table1[[#This Row],[Results 
(kg CO2-eq)]]/1000</f>
        <v>0</v>
      </c>
      <c r="V90" s="816">
        <f>IF(Table1[[#This Row],[Results incl. comp. (ton CO2-eq2]]&lt;0,Table1[[#This Row],[Results incl. comp. (ton CO2-eq2]],0)</f>
        <v>0</v>
      </c>
      <c r="W90" s="816">
        <f t="shared" si="10"/>
        <v>0</v>
      </c>
      <c r="X90" s="816">
        <f>Table1[[#This Row],[Results
(ton CO2-eq)]]</f>
        <v>0</v>
      </c>
    </row>
    <row r="91" spans="2:24">
      <c r="B91" s="1049" t="s">
        <v>1613</v>
      </c>
      <c r="C91" s="1049" t="s">
        <v>1165</v>
      </c>
      <c r="D91" s="1049" t="s">
        <v>1122</v>
      </c>
      <c r="E91" s="962" t="s">
        <v>1157</v>
      </c>
      <c r="F91" s="814">
        <f>IF(E91="Direct",_xlfn.XLOOKUP(D91,'Input import'!B:B,'Input import'!D:D,""),_xlfn.XLOOKUP(D91,'Facilitatory data'!E:E,'Facilitatory data'!G:G,""))</f>
        <v>0</v>
      </c>
      <c r="G91" s="653" t="str">
        <f>IF(E91="Direct",_xlfn.XLOOKUP(D91,'Input import'!B:B,'Input import'!E:E,_xlfn.XLOOKUP(D91,'Input sheet format'!F:F,'Input sheet format'!I:I,"")),_xlfn.XLOOKUP(D91,'Facilitatory data'!E:E,'Facilitatory data'!H:H,""))</f>
        <v>Traveller-km</v>
      </c>
      <c r="H91" s="810">
        <v>1</v>
      </c>
      <c r="I91" s="653" t="s">
        <v>1044</v>
      </c>
      <c r="J91" s="811">
        <v>1</v>
      </c>
      <c r="K91" s="653" t="s">
        <v>1044</v>
      </c>
      <c r="L91" s="1034" t="s">
        <v>1674</v>
      </c>
      <c r="M91" s="1034" t="s">
        <v>1674</v>
      </c>
      <c r="N91" s="1034" t="s">
        <v>1664</v>
      </c>
      <c r="Q91" s="703">
        <f>'Emission factors - list'!$D$68</f>
        <v>0</v>
      </c>
      <c r="R91" s="653" t="s">
        <v>1162</v>
      </c>
      <c r="S91" s="961" t="b">
        <f t="shared" si="8"/>
        <v>1</v>
      </c>
      <c r="T91" s="816">
        <f t="shared" si="9"/>
        <v>0</v>
      </c>
      <c r="U91" s="816">
        <f>Table1[[#This Row],[Results 
(kg CO2-eq)]]/1000</f>
        <v>0</v>
      </c>
      <c r="V91" s="816">
        <f>IF(Table1[[#This Row],[Results incl. comp. (ton CO2-eq2]]&lt;0,Table1[[#This Row],[Results incl. comp. (ton CO2-eq2]],0)</f>
        <v>0</v>
      </c>
      <c r="W91" s="816">
        <f t="shared" si="10"/>
        <v>0</v>
      </c>
      <c r="X91" s="816">
        <f>Table1[[#This Row],[Results
(ton CO2-eq)]]</f>
        <v>0</v>
      </c>
    </row>
    <row r="92" spans="2:24">
      <c r="B92" s="1049" t="s">
        <v>1613</v>
      </c>
      <c r="C92" s="1049" t="s">
        <v>1165</v>
      </c>
      <c r="D92" s="1049" t="s">
        <v>1123</v>
      </c>
      <c r="E92" s="962" t="s">
        <v>1157</v>
      </c>
      <c r="F92" s="814">
        <f>IF(E92="Direct",_xlfn.XLOOKUP(D92,'Input import'!B:B,'Input import'!D:D,""),_xlfn.XLOOKUP(D92,'Facilitatory data'!E:E,'Facilitatory data'!G:G,""))</f>
        <v>0</v>
      </c>
      <c r="G92" s="653" t="str">
        <f>IF(E92="Direct",_xlfn.XLOOKUP(D92,'Input import'!B:B,'Input import'!E:E,_xlfn.XLOOKUP(D92,'Input sheet format'!F:F,'Input sheet format'!I:I,"")),_xlfn.XLOOKUP(D92,'Facilitatory data'!E:E,'Facilitatory data'!H:H,""))</f>
        <v>Traveller-km</v>
      </c>
      <c r="H92" s="810">
        <v>1</v>
      </c>
      <c r="I92" s="653" t="s">
        <v>1044</v>
      </c>
      <c r="J92" s="811">
        <v>1</v>
      </c>
      <c r="K92" s="653" t="s">
        <v>1044</v>
      </c>
      <c r="L92" s="1034" t="s">
        <v>1287</v>
      </c>
      <c r="M92" s="1034" t="s">
        <v>1287</v>
      </c>
      <c r="N92" s="1034" t="s">
        <v>1664</v>
      </c>
      <c r="Q92" s="703">
        <f>'Emission factors - list'!$D$65</f>
        <v>0</v>
      </c>
      <c r="R92" s="653" t="s">
        <v>1162</v>
      </c>
      <c r="S92" s="961" t="b">
        <f t="shared" si="8"/>
        <v>1</v>
      </c>
      <c r="T92" s="816">
        <f t="shared" si="9"/>
        <v>0</v>
      </c>
      <c r="U92" s="816">
        <f>Table1[[#This Row],[Results 
(kg CO2-eq)]]/1000</f>
        <v>0</v>
      </c>
      <c r="V92" s="816">
        <f>IF(Table1[[#This Row],[Results incl. comp. (ton CO2-eq2]]&lt;0,Table1[[#This Row],[Results incl. comp. (ton CO2-eq2]],0)</f>
        <v>0</v>
      </c>
      <c r="W92" s="816">
        <f t="shared" si="10"/>
        <v>0</v>
      </c>
      <c r="X92" s="816">
        <f>Table1[[#This Row],[Results
(ton CO2-eq)]]</f>
        <v>0</v>
      </c>
    </row>
    <row r="93" spans="2:24">
      <c r="B93" s="1049" t="s">
        <v>1613</v>
      </c>
      <c r="C93" s="1049" t="s">
        <v>1165</v>
      </c>
      <c r="D93" s="1049" t="s">
        <v>1124</v>
      </c>
      <c r="E93" s="962" t="s">
        <v>1157</v>
      </c>
      <c r="F93" s="814">
        <f>IF(E93="Direct",_xlfn.XLOOKUP(D93,'Input import'!B:B,'Input import'!D:D,""),_xlfn.XLOOKUP(D93,'Facilitatory data'!E:E,'Facilitatory data'!G:G,""))</f>
        <v>0</v>
      </c>
      <c r="G93" s="653" t="str">
        <f>IF(E93="Direct",_xlfn.XLOOKUP(D93,'Input import'!B:B,'Input import'!E:E,_xlfn.XLOOKUP(D93,'Input sheet format'!F:F,'Input sheet format'!I:I,"")),_xlfn.XLOOKUP(D93,'Facilitatory data'!E:E,'Facilitatory data'!H:H,""))</f>
        <v>Traveller-km</v>
      </c>
      <c r="H93" s="810">
        <v>1</v>
      </c>
      <c r="I93" s="653" t="s">
        <v>1044</v>
      </c>
      <c r="J93" s="811">
        <v>1</v>
      </c>
      <c r="K93" s="653" t="s">
        <v>1044</v>
      </c>
      <c r="L93" s="1034" t="s">
        <v>1300</v>
      </c>
      <c r="M93" s="1034" t="s">
        <v>1300</v>
      </c>
      <c r="N93" s="1095" t="s">
        <v>1713</v>
      </c>
      <c r="Q93" s="703">
        <f>'Emission factors - list'!$D$72</f>
        <v>0.182</v>
      </c>
      <c r="R93" s="653" t="s">
        <v>1162</v>
      </c>
      <c r="S93" s="961" t="b">
        <f t="shared" si="8"/>
        <v>1</v>
      </c>
      <c r="T93" s="816">
        <f t="shared" si="9"/>
        <v>0</v>
      </c>
      <c r="U93" s="816">
        <f>Table1[[#This Row],[Results 
(kg CO2-eq)]]/1000</f>
        <v>0</v>
      </c>
      <c r="V93" s="816">
        <f>IF(Table1[[#This Row],[Results incl. comp. (ton CO2-eq2]]&lt;0,Table1[[#This Row],[Results incl. comp. (ton CO2-eq2]],0)</f>
        <v>0</v>
      </c>
      <c r="W93" s="816">
        <f t="shared" si="10"/>
        <v>0</v>
      </c>
      <c r="X93" s="816">
        <f>Table1[[#This Row],[Results
(ton CO2-eq)]]</f>
        <v>0</v>
      </c>
    </row>
    <row r="94" spans="2:24">
      <c r="B94" s="1049" t="s">
        <v>1613</v>
      </c>
      <c r="C94" s="1049" t="s">
        <v>1165</v>
      </c>
      <c r="D94" s="1049" t="s">
        <v>1125</v>
      </c>
      <c r="E94" s="962" t="s">
        <v>1157</v>
      </c>
      <c r="F94" s="814">
        <f>IF(E94="Direct",_xlfn.XLOOKUP(D94,'Input import'!B:B,'Input import'!D:D,""),_xlfn.XLOOKUP(D94,'Facilitatory data'!E:E,'Facilitatory data'!G:G,""))</f>
        <v>0</v>
      </c>
      <c r="G94" s="653" t="str">
        <f>IF(E94="Direct",_xlfn.XLOOKUP(D94,'Input import'!B:B,'Input import'!E:E,_xlfn.XLOOKUP(D94,'Input sheet format'!F:F,'Input sheet format'!I:I,"")),_xlfn.XLOOKUP(D94,'Facilitatory data'!E:E,'Facilitatory data'!H:H,""))</f>
        <v>Traveller-km</v>
      </c>
      <c r="H94" s="810">
        <v>1</v>
      </c>
      <c r="I94" s="653" t="s">
        <v>1044</v>
      </c>
      <c r="J94" s="811">
        <v>1</v>
      </c>
      <c r="K94" s="653" t="s">
        <v>1044</v>
      </c>
      <c r="L94" s="1034" t="s">
        <v>1675</v>
      </c>
      <c r="M94" s="1034" t="s">
        <v>1675</v>
      </c>
      <c r="N94" s="1095" t="s">
        <v>1713</v>
      </c>
      <c r="Q94" s="703">
        <f>'Emission factors - list'!$D$73</f>
        <v>1.8738000000000001E-2</v>
      </c>
      <c r="R94" s="653" t="s">
        <v>1162</v>
      </c>
      <c r="S94" s="961" t="b">
        <f t="shared" si="8"/>
        <v>1</v>
      </c>
      <c r="T94" s="816">
        <f t="shared" si="9"/>
        <v>0</v>
      </c>
      <c r="U94" s="816">
        <f>Table1[[#This Row],[Results 
(kg CO2-eq)]]/1000</f>
        <v>0</v>
      </c>
      <c r="V94" s="816">
        <f>IF(Table1[[#This Row],[Results incl. comp. (ton CO2-eq2]]&lt;0,Table1[[#This Row],[Results incl. comp. (ton CO2-eq2]],0)</f>
        <v>0</v>
      </c>
      <c r="W94" s="816">
        <f t="shared" si="10"/>
        <v>0</v>
      </c>
      <c r="X94" s="816">
        <f>Table1[[#This Row],[Results
(ton CO2-eq)]]</f>
        <v>0</v>
      </c>
    </row>
    <row r="95" spans="2:24">
      <c r="B95" s="1049" t="s">
        <v>1613</v>
      </c>
      <c r="C95" s="1049" t="s">
        <v>1165</v>
      </c>
      <c r="D95" s="1049" t="s">
        <v>1126</v>
      </c>
      <c r="E95" s="962" t="s">
        <v>1157</v>
      </c>
      <c r="F95" s="814">
        <f>IF(E95="Direct",_xlfn.XLOOKUP(D95,'Input import'!B:B,'Input import'!D:D,""),_xlfn.XLOOKUP(D95,'Facilitatory data'!E:E,'Facilitatory data'!G:G,""))</f>
        <v>0</v>
      </c>
      <c r="G95" s="653" t="str">
        <f>IF(E95="Direct",_xlfn.XLOOKUP(D95,'Input import'!B:B,'Input import'!E:E,_xlfn.XLOOKUP(D95,'Input sheet format'!F:F,'Input sheet format'!I:I,"")),_xlfn.XLOOKUP(D95,'Facilitatory data'!E:E,'Facilitatory data'!H:H,""))</f>
        <v>Traveller-km</v>
      </c>
      <c r="H95" s="810">
        <v>1</v>
      </c>
      <c r="I95" s="653" t="s">
        <v>1044</v>
      </c>
      <c r="J95" s="811">
        <v>1</v>
      </c>
      <c r="K95" s="653" t="s">
        <v>1044</v>
      </c>
      <c r="L95" s="1034" t="s">
        <v>1675</v>
      </c>
      <c r="M95" s="1034" t="s">
        <v>1675</v>
      </c>
      <c r="N95" s="1034" t="s">
        <v>1664</v>
      </c>
      <c r="Q95" s="703">
        <f>'Emission factors - list'!$D$74</f>
        <v>0</v>
      </c>
      <c r="R95" s="653" t="s">
        <v>1162</v>
      </c>
      <c r="S95" s="961" t="b">
        <f t="shared" si="8"/>
        <v>1</v>
      </c>
      <c r="T95" s="816">
        <f t="shared" si="9"/>
        <v>0</v>
      </c>
      <c r="U95" s="816">
        <f>Table1[[#This Row],[Results 
(kg CO2-eq)]]/1000</f>
        <v>0</v>
      </c>
      <c r="V95" s="816">
        <f>IF(Table1[[#This Row],[Results incl. comp. (ton CO2-eq2]]&lt;0,Table1[[#This Row],[Results incl. comp. (ton CO2-eq2]],0)</f>
        <v>0</v>
      </c>
      <c r="W95" s="816">
        <f t="shared" si="10"/>
        <v>0</v>
      </c>
      <c r="X95" s="816">
        <f>Table1[[#This Row],[Results
(ton CO2-eq)]]</f>
        <v>0</v>
      </c>
    </row>
    <row r="96" spans="2:24">
      <c r="B96" s="1049" t="s">
        <v>1613</v>
      </c>
      <c r="C96" s="1049" t="s">
        <v>1165</v>
      </c>
      <c r="D96" s="1049" t="s">
        <v>1127</v>
      </c>
      <c r="E96" s="962" t="s">
        <v>1157</v>
      </c>
      <c r="F96" s="814">
        <f>IF(E96="Direct",_xlfn.XLOOKUP(D96,'Input import'!B:B,'Input import'!D:D,""),_xlfn.XLOOKUP(D96,'Facilitatory data'!E:E,'Facilitatory data'!G:G,""))</f>
        <v>0</v>
      </c>
      <c r="G96" s="653" t="str">
        <f>IF(E96="Direct",_xlfn.XLOOKUP(D96,'Input import'!B:B,'Input import'!E:E,_xlfn.XLOOKUP(D96,'Input sheet format'!F:F,'Input sheet format'!I:I,"")),_xlfn.XLOOKUP(D96,'Facilitatory data'!E:E,'Facilitatory data'!H:H,""))</f>
        <v>Traveller-km</v>
      </c>
      <c r="H96" s="810">
        <v>1</v>
      </c>
      <c r="I96" s="653" t="s">
        <v>1044</v>
      </c>
      <c r="J96" s="811">
        <v>1</v>
      </c>
      <c r="K96" s="653" t="s">
        <v>1044</v>
      </c>
      <c r="L96" s="1034" t="s">
        <v>1677</v>
      </c>
      <c r="M96" s="1034" t="s">
        <v>1677</v>
      </c>
      <c r="N96" s="1095" t="s">
        <v>1713</v>
      </c>
      <c r="Q96" s="703">
        <f>'Emission factors - list'!$D$69</f>
        <v>1.9E-2</v>
      </c>
      <c r="R96" s="653" t="s">
        <v>1162</v>
      </c>
      <c r="S96" s="961" t="b">
        <f t="shared" si="8"/>
        <v>1</v>
      </c>
      <c r="T96" s="816">
        <f t="shared" si="9"/>
        <v>0</v>
      </c>
      <c r="U96" s="816">
        <f>Table1[[#This Row],[Results 
(kg CO2-eq)]]/1000</f>
        <v>0</v>
      </c>
      <c r="V96" s="816">
        <f>IF(Table1[[#This Row],[Results incl. comp. (ton CO2-eq2]]&lt;0,Table1[[#This Row],[Results incl. comp. (ton CO2-eq2]],0)</f>
        <v>0</v>
      </c>
      <c r="W96" s="816">
        <f t="shared" si="10"/>
        <v>0</v>
      </c>
      <c r="X96" s="816">
        <f>Table1[[#This Row],[Results
(ton CO2-eq)]]</f>
        <v>0</v>
      </c>
    </row>
    <row r="97" spans="2:24">
      <c r="B97" s="1049" t="s">
        <v>1613</v>
      </c>
      <c r="C97" s="1049" t="s">
        <v>1165</v>
      </c>
      <c r="D97" s="1049" t="s">
        <v>1128</v>
      </c>
      <c r="E97" s="962" t="s">
        <v>1157</v>
      </c>
      <c r="F97" s="814">
        <f>IF(E97="Direct",_xlfn.XLOOKUP(D97,'Input import'!B:B,'Input import'!D:D,""),_xlfn.XLOOKUP(D97,'Facilitatory data'!E:E,'Facilitatory data'!G:G,""))</f>
        <v>0</v>
      </c>
      <c r="G97" s="653" t="str">
        <f>IF(E97="Direct",_xlfn.XLOOKUP(D97,'Input import'!B:B,'Input import'!E:E,_xlfn.XLOOKUP(D97,'Input sheet format'!F:F,'Input sheet format'!I:I,"")),_xlfn.XLOOKUP(D97,'Facilitatory data'!E:E,'Facilitatory data'!H:H,""))</f>
        <v>Traveller-km</v>
      </c>
      <c r="H97" s="810">
        <v>1</v>
      </c>
      <c r="I97" s="653" t="s">
        <v>1044</v>
      </c>
      <c r="J97" s="811">
        <v>1</v>
      </c>
      <c r="K97" s="653" t="s">
        <v>1044</v>
      </c>
      <c r="L97" s="1034" t="s">
        <v>1677</v>
      </c>
      <c r="M97" s="1034" t="s">
        <v>1677</v>
      </c>
      <c r="N97" s="1034" t="s">
        <v>1664</v>
      </c>
      <c r="Q97" s="703">
        <f>'Emission factors - list'!$D$68</f>
        <v>0</v>
      </c>
      <c r="R97" s="653" t="s">
        <v>1162</v>
      </c>
      <c r="S97" s="961" t="b">
        <f t="shared" si="8"/>
        <v>1</v>
      </c>
      <c r="T97" s="816">
        <f t="shared" si="9"/>
        <v>0</v>
      </c>
      <c r="U97" s="816">
        <f>Table1[[#This Row],[Results 
(kg CO2-eq)]]/1000</f>
        <v>0</v>
      </c>
      <c r="V97" s="816">
        <f>IF(Table1[[#This Row],[Results incl. comp. (ton CO2-eq2]]&lt;0,Table1[[#This Row],[Results incl. comp. (ton CO2-eq2]],0)</f>
        <v>0</v>
      </c>
      <c r="W97" s="816">
        <f t="shared" si="10"/>
        <v>0</v>
      </c>
      <c r="X97" s="816">
        <f>Table1[[#This Row],[Results
(ton CO2-eq)]]</f>
        <v>0</v>
      </c>
    </row>
    <row r="98" spans="2:24">
      <c r="B98" s="1049" t="s">
        <v>1614</v>
      </c>
      <c r="C98" s="1049" t="s">
        <v>1166</v>
      </c>
      <c r="D98" s="1049" t="s">
        <v>973</v>
      </c>
      <c r="E98" s="962" t="s">
        <v>1151</v>
      </c>
      <c r="F98" s="814">
        <f>IF(E98="Direct",_xlfn.XLOOKUP(D98,'Input import'!B:B,'Input import'!D:D,""),_xlfn.XLOOKUP(D98,'Facilitatory data'!E:E,'Facilitatory data'!G:G,""))</f>
        <v>0</v>
      </c>
      <c r="G98" s="653" t="str">
        <f>IF(E98="Direct",_xlfn.XLOOKUP(D98,'Input import'!B:B,'Input import'!E:E,_xlfn.XLOOKUP(D98,'Input sheet format'!F:F,'Input sheet format'!I:I,"")),_xlfn.XLOOKUP(D98,'Facilitatory data'!E:E,'Facilitatory data'!H:H,""))</f>
        <v>kWh</v>
      </c>
      <c r="H98" s="810">
        <v>1</v>
      </c>
      <c r="I98" s="653" t="s">
        <v>79</v>
      </c>
      <c r="J98" s="811">
        <v>1</v>
      </c>
      <c r="K98" s="653" t="s">
        <v>79</v>
      </c>
      <c r="L98" s="1098" t="s">
        <v>1782</v>
      </c>
      <c r="M98" s="1034" t="s">
        <v>1150</v>
      </c>
      <c r="N98" s="1098" t="s">
        <v>1664</v>
      </c>
      <c r="Q98" s="703">
        <f>'Emission factors - list'!D8</f>
        <v>0</v>
      </c>
      <c r="R98" s="653" t="str">
        <f>'Emission factors - list'!E8</f>
        <v>kg CO2 / kWh</v>
      </c>
      <c r="S98" s="961" t="b">
        <f t="shared" si="8"/>
        <v>1</v>
      </c>
      <c r="T98" s="816">
        <f t="shared" si="9"/>
        <v>0</v>
      </c>
      <c r="U98" s="816">
        <f>Table1[[#This Row],[Results 
(kg CO2-eq)]]/1000</f>
        <v>0</v>
      </c>
      <c r="V98" s="816">
        <f>IF(Table1[[#This Row],[Results incl. comp. (ton CO2-eq2]]&lt;0,Table1[[#This Row],[Results incl. comp. (ton CO2-eq2]],0)</f>
        <v>0</v>
      </c>
      <c r="W98" s="816">
        <f t="shared" si="10"/>
        <v>0</v>
      </c>
      <c r="X98" s="816">
        <f>Table1[[#This Row],[Results
(ton CO2-eq)]]</f>
        <v>0</v>
      </c>
    </row>
    <row r="99" spans="2:24">
      <c r="B99" s="1049" t="s">
        <v>1614</v>
      </c>
      <c r="C99" s="1049" t="s">
        <v>1166</v>
      </c>
      <c r="D99" s="1049" t="s">
        <v>974</v>
      </c>
      <c r="E99" s="962" t="s">
        <v>1151</v>
      </c>
      <c r="F99" s="814">
        <f>IF(E99="Direct",_xlfn.XLOOKUP(D99,'Input import'!B:B,'Input import'!D:D,""),_xlfn.XLOOKUP(D99,'Facilitatory data'!E:E,'Facilitatory data'!G:G,""))</f>
        <v>0</v>
      </c>
      <c r="G99" s="653" t="str">
        <f>IF(E99="Direct",_xlfn.XLOOKUP(D99,'Input import'!B:B,'Input import'!E:E,_xlfn.XLOOKUP(D99,'Input sheet format'!F:F,'Input sheet format'!I:I,"")),_xlfn.XLOOKUP(D99,'Facilitatory data'!E:E,'Facilitatory data'!H:H,""))</f>
        <v>kWh</v>
      </c>
      <c r="H99" s="810">
        <v>1</v>
      </c>
      <c r="I99" s="653" t="s">
        <v>79</v>
      </c>
      <c r="J99" s="811">
        <v>1</v>
      </c>
      <c r="K99" s="653" t="s">
        <v>79</v>
      </c>
      <c r="L99" s="1098" t="s">
        <v>1782</v>
      </c>
      <c r="M99" s="1034" t="s">
        <v>1150</v>
      </c>
      <c r="N99" s="1098" t="s">
        <v>1713</v>
      </c>
      <c r="Q99" s="703">
        <f>'Emission factors - list'!D7</f>
        <v>0.38521996819553</v>
      </c>
      <c r="R99" s="653" t="str">
        <f>'Emission factors - list'!E7</f>
        <v>kg CO2 / kWh</v>
      </c>
      <c r="S99" s="961" t="b">
        <f t="shared" si="8"/>
        <v>1</v>
      </c>
      <c r="T99" s="816">
        <f t="shared" si="9"/>
        <v>0</v>
      </c>
      <c r="U99" s="816">
        <f>Table1[[#This Row],[Results 
(kg CO2-eq)]]/1000</f>
        <v>0</v>
      </c>
      <c r="V99" s="816">
        <f>IF(Table1[[#This Row],[Results incl. comp. (ton CO2-eq2]]&lt;0,Table1[[#This Row],[Results incl. comp. (ton CO2-eq2]],0)</f>
        <v>0</v>
      </c>
      <c r="W99" s="816">
        <f t="shared" si="10"/>
        <v>0</v>
      </c>
      <c r="X99" s="816">
        <f>Table1[[#This Row],[Results
(ton CO2-eq)]]</f>
        <v>0</v>
      </c>
    </row>
    <row r="100" spans="2:24">
      <c r="B100" s="1049" t="s">
        <v>1614</v>
      </c>
      <c r="C100" s="1049" t="s">
        <v>1166</v>
      </c>
      <c r="D100" s="1049" t="s">
        <v>975</v>
      </c>
      <c r="E100" s="962" t="s">
        <v>1151</v>
      </c>
      <c r="F100" s="814">
        <f>IF(E100="Direct",_xlfn.XLOOKUP(D100,'Input import'!B:B,'Input import'!D:D,""),_xlfn.XLOOKUP(D100,'Facilitatory data'!E:E,'Facilitatory data'!G:G,""))</f>
        <v>0</v>
      </c>
      <c r="G100" s="653" t="str">
        <f>IF(E100="Direct",_xlfn.XLOOKUP(D100,'Input import'!B:B,'Input import'!E:E,_xlfn.XLOOKUP(D100,'Input sheet format'!F:F,'Input sheet format'!I:I,"")),_xlfn.XLOOKUP(D100,'Facilitatory data'!E:E,'Facilitatory data'!H:H,""))</f>
        <v>litres</v>
      </c>
      <c r="H100" s="810">
        <v>1</v>
      </c>
      <c r="I100" s="653" t="s">
        <v>91</v>
      </c>
      <c r="J100" s="811">
        <v>1</v>
      </c>
      <c r="K100" s="653" t="s">
        <v>1153</v>
      </c>
      <c r="L100" s="1098" t="s">
        <v>1782</v>
      </c>
      <c r="M100" s="1034" t="s">
        <v>1668</v>
      </c>
      <c r="N100" s="1034" t="s">
        <v>1664</v>
      </c>
      <c r="Q100" s="703">
        <f>'Emission factors - list'!D11</f>
        <v>0.441</v>
      </c>
      <c r="R100" s="653" t="str">
        <f>'Emission factors - list'!E11</f>
        <v>kg CO2-eq / L</v>
      </c>
      <c r="S100" s="961" t="b">
        <f t="shared" si="8"/>
        <v>1</v>
      </c>
      <c r="T100" s="816">
        <f t="shared" si="9"/>
        <v>0</v>
      </c>
      <c r="U100" s="816">
        <f>Table1[[#This Row],[Results 
(kg CO2-eq)]]/1000</f>
        <v>0</v>
      </c>
      <c r="V100" s="816">
        <f>IF(Table1[[#This Row],[Results incl. comp. (ton CO2-eq2]]&lt;0,Table1[[#This Row],[Results incl. comp. (ton CO2-eq2]],0)</f>
        <v>0</v>
      </c>
      <c r="W100" s="816">
        <f t="shared" si="10"/>
        <v>0</v>
      </c>
      <c r="X100" s="816">
        <f>Table1[[#This Row],[Results
(ton CO2-eq)]]</f>
        <v>0</v>
      </c>
    </row>
    <row r="101" spans="2:24">
      <c r="B101" s="1049" t="s">
        <v>1614</v>
      </c>
      <c r="C101" s="1049" t="s">
        <v>1166</v>
      </c>
      <c r="D101" s="1049" t="s">
        <v>976</v>
      </c>
      <c r="E101" s="962" t="s">
        <v>1151</v>
      </c>
      <c r="F101" s="814">
        <f>IF(E101="Direct",_xlfn.XLOOKUP(D101,'Input import'!B:B,'Input import'!D:D,""),_xlfn.XLOOKUP(D101,'Facilitatory data'!E:E,'Facilitatory data'!G:G,""))</f>
        <v>0</v>
      </c>
      <c r="G101" s="653" t="str">
        <f>IF(E101="Direct",_xlfn.XLOOKUP(D101,'Input import'!B:B,'Input import'!E:E,_xlfn.XLOOKUP(D101,'Input sheet format'!F:F,'Input sheet format'!I:I,"")),_xlfn.XLOOKUP(D101,'Facilitatory data'!E:E,'Facilitatory data'!H:H,""))</f>
        <v>litres</v>
      </c>
      <c r="H101" s="810">
        <v>1</v>
      </c>
      <c r="I101" s="653" t="s">
        <v>91</v>
      </c>
      <c r="J101" s="811">
        <v>1</v>
      </c>
      <c r="K101" s="653" t="s">
        <v>1153</v>
      </c>
      <c r="L101" s="1098" t="s">
        <v>1782</v>
      </c>
      <c r="M101" s="1034" t="s">
        <v>1667</v>
      </c>
      <c r="N101" s="1098" t="s">
        <v>1713</v>
      </c>
      <c r="Q101" s="703">
        <f>'Emission factors - list'!D9</f>
        <v>3.2509999999999999</v>
      </c>
      <c r="R101" s="653" t="str">
        <f>'Emission factors - list'!E9</f>
        <v>kg CO2-eq / L</v>
      </c>
      <c r="S101" s="961" t="b">
        <f t="shared" ref="S101:S132" si="11">IFERROR(_xlfn.TEXTAFTER(R101,"/ ")=K101,"")</f>
        <v>1</v>
      </c>
      <c r="T101" s="816">
        <f t="shared" ref="T101:T132" si="12">IFERROR(F101*H101*J101*Q101,"Error")</f>
        <v>0</v>
      </c>
      <c r="U101" s="816">
        <f>Table1[[#This Row],[Results 
(kg CO2-eq)]]/1000</f>
        <v>0</v>
      </c>
      <c r="V101" s="816">
        <f>IF(Table1[[#This Row],[Results incl. comp. (ton CO2-eq2]]&lt;0,Table1[[#This Row],[Results incl. comp. (ton CO2-eq2]],0)</f>
        <v>0</v>
      </c>
      <c r="W101" s="816">
        <f t="shared" ref="W101:W132" si="13">IFERROR(F101*H101*J101*Q101,"Error")</f>
        <v>0</v>
      </c>
      <c r="X101" s="816">
        <f>Table1[[#This Row],[Results
(ton CO2-eq)]]</f>
        <v>0</v>
      </c>
    </row>
    <row r="102" spans="2:24">
      <c r="B102" s="1049" t="s">
        <v>1614</v>
      </c>
      <c r="C102" s="1049" t="s">
        <v>1166</v>
      </c>
      <c r="D102" s="1049" t="s">
        <v>977</v>
      </c>
      <c r="E102" s="962" t="s">
        <v>1151</v>
      </c>
      <c r="F102" s="814">
        <f>IF(E102="Direct",_xlfn.XLOOKUP(D102,'Input import'!B:B,'Input import'!D:D,""),_xlfn.XLOOKUP(D102,'Facilitatory data'!E:E,'Facilitatory data'!G:G,""))</f>
        <v>0</v>
      </c>
      <c r="G102" s="653" t="str">
        <f>IF(E102="Direct",_xlfn.XLOOKUP(D102,'Input import'!B:B,'Input import'!E:E,_xlfn.XLOOKUP(D102,'Input sheet format'!F:F,'Input sheet format'!I:I,"")),_xlfn.XLOOKUP(D102,'Facilitatory data'!E:E,'Facilitatory data'!H:H,""))</f>
        <v>litres</v>
      </c>
      <c r="H102" s="810">
        <v>1</v>
      </c>
      <c r="I102" s="653" t="s">
        <v>91</v>
      </c>
      <c r="J102" s="811">
        <v>1</v>
      </c>
      <c r="K102" s="653" t="s">
        <v>1153</v>
      </c>
      <c r="L102" s="1098" t="s">
        <v>1782</v>
      </c>
      <c r="M102" s="1034" t="s">
        <v>1678</v>
      </c>
      <c r="N102" s="1098" t="s">
        <v>1713</v>
      </c>
      <c r="Q102" s="703">
        <f>'Emission factors - list'!D10</f>
        <v>2.7970000000000002</v>
      </c>
      <c r="R102" s="653" t="str">
        <f>'Emission factors - list'!E10</f>
        <v>kg CO2-eq / L</v>
      </c>
      <c r="S102" s="961" t="b">
        <f t="shared" si="11"/>
        <v>1</v>
      </c>
      <c r="T102" s="816">
        <f t="shared" si="12"/>
        <v>0</v>
      </c>
      <c r="U102" s="816">
        <f>Table1[[#This Row],[Results 
(kg CO2-eq)]]/1000</f>
        <v>0</v>
      </c>
      <c r="V102" s="816">
        <f>IF(Table1[[#This Row],[Results incl. comp. (ton CO2-eq2]]&lt;0,Table1[[#This Row],[Results incl. comp. (ton CO2-eq2]],0)</f>
        <v>0</v>
      </c>
      <c r="W102" s="816">
        <f t="shared" si="13"/>
        <v>0</v>
      </c>
      <c r="X102" s="816">
        <f>Table1[[#This Row],[Results
(ton CO2-eq)]]</f>
        <v>0</v>
      </c>
    </row>
    <row r="103" spans="2:24">
      <c r="B103" s="1049" t="s">
        <v>1614</v>
      </c>
      <c r="C103" s="1049" t="s">
        <v>1166</v>
      </c>
      <c r="D103" s="1049" t="s">
        <v>978</v>
      </c>
      <c r="E103" s="962" t="s">
        <v>1151</v>
      </c>
      <c r="F103" s="814">
        <f>IF(E103="Direct",_xlfn.XLOOKUP(D103,'Input import'!B:B,'Input import'!D:D,""),_xlfn.XLOOKUP(D103,'Facilitatory data'!E:E,'Facilitatory data'!G:G,""))</f>
        <v>0</v>
      </c>
      <c r="G103" s="653" t="str">
        <f>IF(E103="Direct",_xlfn.XLOOKUP(D103,'Input import'!B:B,'Input import'!E:E,_xlfn.XLOOKUP(D103,'Input sheet format'!F:F,'Input sheet format'!I:I,"")),_xlfn.XLOOKUP(D103,'Facilitatory data'!E:E,'Facilitatory data'!H:H,""))</f>
        <v>kg</v>
      </c>
      <c r="H103" s="810">
        <v>1</v>
      </c>
      <c r="I103" s="653" t="s">
        <v>96</v>
      </c>
      <c r="J103" s="811">
        <v>1</v>
      </c>
      <c r="K103" s="653" t="s">
        <v>96</v>
      </c>
      <c r="L103" s="1098" t="s">
        <v>1782</v>
      </c>
      <c r="M103" s="1034" t="s">
        <v>366</v>
      </c>
      <c r="N103" s="1098" t="s">
        <v>1664</v>
      </c>
      <c r="Q103" s="703">
        <f>'Emission factors - list'!D14</f>
        <v>0.79400000000000004</v>
      </c>
      <c r="R103" s="653" t="str">
        <f>'Emission factors - list'!E14</f>
        <v>kg CO2-eq / kg</v>
      </c>
      <c r="S103" s="961" t="b">
        <f t="shared" si="11"/>
        <v>1</v>
      </c>
      <c r="T103" s="816">
        <f t="shared" si="12"/>
        <v>0</v>
      </c>
      <c r="U103" s="816">
        <f>Table1[[#This Row],[Results 
(kg CO2-eq)]]/1000</f>
        <v>0</v>
      </c>
      <c r="V103" s="816">
        <f>IF(Table1[[#This Row],[Results incl. comp. (ton CO2-eq2]]&lt;0,Table1[[#This Row],[Results incl. comp. (ton CO2-eq2]],0)</f>
        <v>0</v>
      </c>
      <c r="W103" s="816">
        <f t="shared" si="13"/>
        <v>0</v>
      </c>
      <c r="X103" s="816">
        <f>Table1[[#This Row],[Results
(ton CO2-eq)]]</f>
        <v>0</v>
      </c>
    </row>
    <row r="104" spans="2:24">
      <c r="B104" s="1049" t="s">
        <v>1614</v>
      </c>
      <c r="C104" s="1049" t="s">
        <v>1166</v>
      </c>
      <c r="D104" s="1049" t="s">
        <v>979</v>
      </c>
      <c r="E104" s="962" t="s">
        <v>1151</v>
      </c>
      <c r="F104" s="814">
        <f>IF(E104="Direct",_xlfn.XLOOKUP(D104,'Input import'!B:B,'Input import'!D:D,""),_xlfn.XLOOKUP(D104,'Facilitatory data'!E:E,'Facilitatory data'!G:G,""))</f>
        <v>0</v>
      </c>
      <c r="G104" s="653" t="str">
        <f>IF(E104="Direct",_xlfn.XLOOKUP(D104,'Input import'!B:B,'Input import'!E:E,_xlfn.XLOOKUP(D104,'Input sheet format'!F:F,'Input sheet format'!I:I,"")),_xlfn.XLOOKUP(D104,'Facilitatory data'!E:E,'Facilitatory data'!H:H,""))</f>
        <v>kg</v>
      </c>
      <c r="H104" s="810">
        <v>1</v>
      </c>
      <c r="I104" s="653" t="s">
        <v>96</v>
      </c>
      <c r="J104" s="811">
        <v>1</v>
      </c>
      <c r="K104" s="653" t="s">
        <v>96</v>
      </c>
      <c r="L104" s="1098" t="s">
        <v>1782</v>
      </c>
      <c r="M104" s="1034" t="s">
        <v>1666</v>
      </c>
      <c r="N104" s="1098" t="s">
        <v>1713</v>
      </c>
      <c r="Q104" s="703">
        <f>'Emission factors - list'!D13</f>
        <v>2.831</v>
      </c>
      <c r="R104" s="653" t="str">
        <f>'Emission factors - list'!E13</f>
        <v>kg CO2-eq / kg</v>
      </c>
      <c r="S104" s="961" t="b">
        <f t="shared" si="11"/>
        <v>1</v>
      </c>
      <c r="T104" s="816">
        <f t="shared" si="12"/>
        <v>0</v>
      </c>
      <c r="U104" s="816">
        <f>Table1[[#This Row],[Results 
(kg CO2-eq)]]/1000</f>
        <v>0</v>
      </c>
      <c r="V104" s="816">
        <f>IF(Table1[[#This Row],[Results incl. comp. (ton CO2-eq2]]&lt;0,Table1[[#This Row],[Results incl. comp. (ton CO2-eq2]],0)</f>
        <v>0</v>
      </c>
      <c r="W104" s="816">
        <f t="shared" si="13"/>
        <v>0</v>
      </c>
      <c r="X104" s="816">
        <f>Table1[[#This Row],[Results
(ton CO2-eq)]]</f>
        <v>0</v>
      </c>
    </row>
    <row r="105" spans="2:24">
      <c r="B105" s="1049" t="s">
        <v>1614</v>
      </c>
      <c r="C105" s="1049" t="s">
        <v>1167</v>
      </c>
      <c r="D105" s="1049" t="s">
        <v>982</v>
      </c>
      <c r="E105" s="962" t="s">
        <v>1151</v>
      </c>
      <c r="F105" s="814">
        <f>IF(E105="Direct",_xlfn.XLOOKUP(D105,'Input import'!B:B,'Input import'!D:D,""),_xlfn.XLOOKUP(D105,'Facilitatory data'!E:E,'Facilitatory data'!G:G,""))</f>
        <v>0</v>
      </c>
      <c r="G105" s="653" t="str">
        <f>IF(E105="Direct",_xlfn.XLOOKUP(D105,'Input import'!B:B,'Input import'!E:E,_xlfn.XLOOKUP(D105,'Input sheet format'!F:F,'Input sheet format'!I:I,"")),_xlfn.XLOOKUP(D105,'Facilitatory data'!E:E,'Facilitatory data'!H:H,""))</f>
        <v>kWh</v>
      </c>
      <c r="H105" s="810">
        <v>1</v>
      </c>
      <c r="I105" s="653" t="s">
        <v>79</v>
      </c>
      <c r="J105" s="811">
        <v>1</v>
      </c>
      <c r="K105" s="653" t="s">
        <v>79</v>
      </c>
      <c r="L105" s="1098" t="s">
        <v>1803</v>
      </c>
      <c r="M105" s="1034" t="s">
        <v>1150</v>
      </c>
      <c r="N105" s="1098" t="s">
        <v>1664</v>
      </c>
      <c r="Q105" s="703">
        <f>'Emission factors - list'!D8</f>
        <v>0</v>
      </c>
      <c r="R105" s="653" t="str">
        <f>'Emission factors - list'!E8</f>
        <v>kg CO2 / kWh</v>
      </c>
      <c r="S105" s="961" t="b">
        <f t="shared" si="11"/>
        <v>1</v>
      </c>
      <c r="T105" s="816">
        <f t="shared" si="12"/>
        <v>0</v>
      </c>
      <c r="U105" s="816">
        <f>Table1[[#This Row],[Results 
(kg CO2-eq)]]/1000</f>
        <v>0</v>
      </c>
      <c r="V105" s="816">
        <f>IF(Table1[[#This Row],[Results incl. comp. (ton CO2-eq2]]&lt;0,Table1[[#This Row],[Results incl. comp. (ton CO2-eq2]],0)</f>
        <v>0</v>
      </c>
      <c r="W105" s="816">
        <f t="shared" si="13"/>
        <v>0</v>
      </c>
      <c r="X105" s="816">
        <f>Table1[[#This Row],[Results
(ton CO2-eq)]]</f>
        <v>0</v>
      </c>
    </row>
    <row r="106" spans="2:24">
      <c r="B106" s="1049" t="s">
        <v>1614</v>
      </c>
      <c r="C106" s="1049" t="s">
        <v>1167</v>
      </c>
      <c r="D106" s="1049" t="s">
        <v>983</v>
      </c>
      <c r="E106" s="962" t="s">
        <v>1151</v>
      </c>
      <c r="F106" s="814">
        <f>IF(E106="Direct",_xlfn.XLOOKUP(D106,'Input import'!B:B,'Input import'!D:D,""),_xlfn.XLOOKUP(D106,'Facilitatory data'!E:E,'Facilitatory data'!G:G,""))</f>
        <v>0</v>
      </c>
      <c r="G106" s="653" t="str">
        <f>IF(E106="Direct",_xlfn.XLOOKUP(D106,'Input import'!B:B,'Input import'!E:E,_xlfn.XLOOKUP(D106,'Input sheet format'!F:F,'Input sheet format'!I:I,"")),_xlfn.XLOOKUP(D106,'Facilitatory data'!E:E,'Facilitatory data'!H:H,""))</f>
        <v>kWh</v>
      </c>
      <c r="H106" s="810">
        <v>1</v>
      </c>
      <c r="I106" s="653" t="s">
        <v>79</v>
      </c>
      <c r="J106" s="811">
        <v>1</v>
      </c>
      <c r="K106" s="653" t="s">
        <v>79</v>
      </c>
      <c r="L106" s="1098" t="s">
        <v>1803</v>
      </c>
      <c r="M106" s="1034" t="s">
        <v>1150</v>
      </c>
      <c r="N106" s="1098" t="s">
        <v>1713</v>
      </c>
      <c r="Q106" s="703">
        <f>'Emission factors - list'!D7</f>
        <v>0.38521996819553</v>
      </c>
      <c r="R106" s="653" t="str">
        <f>'Emission factors - list'!E7</f>
        <v>kg CO2 / kWh</v>
      </c>
      <c r="S106" s="961" t="b">
        <f t="shared" si="11"/>
        <v>1</v>
      </c>
      <c r="T106" s="816">
        <f t="shared" si="12"/>
        <v>0</v>
      </c>
      <c r="U106" s="816">
        <f>Table1[[#This Row],[Results 
(kg CO2-eq)]]/1000</f>
        <v>0</v>
      </c>
      <c r="V106" s="816">
        <f>IF(Table1[[#This Row],[Results incl. comp. (ton CO2-eq2]]&lt;0,Table1[[#This Row],[Results incl. comp. (ton CO2-eq2]],0)</f>
        <v>0</v>
      </c>
      <c r="W106" s="816">
        <f t="shared" si="13"/>
        <v>0</v>
      </c>
      <c r="X106" s="816">
        <f>Table1[[#This Row],[Results
(ton CO2-eq)]]</f>
        <v>0</v>
      </c>
    </row>
    <row r="107" spans="2:24">
      <c r="B107" s="1049" t="s">
        <v>1614</v>
      </c>
      <c r="C107" s="1049" t="s">
        <v>1167</v>
      </c>
      <c r="D107" s="1049" t="s">
        <v>984</v>
      </c>
      <c r="E107" s="962" t="s">
        <v>1151</v>
      </c>
      <c r="F107" s="814">
        <f>IF(E107="Direct",_xlfn.XLOOKUP(D107,'Input import'!B:B,'Input import'!D:D,""),_xlfn.XLOOKUP(D107,'Facilitatory data'!E:E,'Facilitatory data'!G:G,""))</f>
        <v>0</v>
      </c>
      <c r="G107" s="653" t="str">
        <f>IF(E107="Direct",_xlfn.XLOOKUP(D107,'Input import'!B:B,'Input import'!E:E,_xlfn.XLOOKUP(D107,'Input sheet format'!F:F,'Input sheet format'!I:I,"")),_xlfn.XLOOKUP(D107,'Facilitatory data'!E:E,'Facilitatory data'!H:H,""))</f>
        <v>litres</v>
      </c>
      <c r="H107" s="810">
        <v>1</v>
      </c>
      <c r="I107" s="653" t="s">
        <v>91</v>
      </c>
      <c r="J107" s="811">
        <v>1</v>
      </c>
      <c r="K107" s="653" t="s">
        <v>1153</v>
      </c>
      <c r="L107" s="1098" t="s">
        <v>1803</v>
      </c>
      <c r="M107" s="1034" t="s">
        <v>1668</v>
      </c>
      <c r="N107" s="1034" t="s">
        <v>1664</v>
      </c>
      <c r="Q107" s="703">
        <f>'Emission factors - list'!D11</f>
        <v>0.441</v>
      </c>
      <c r="R107" s="653" t="str">
        <f>'Emission factors - list'!E11</f>
        <v>kg CO2-eq / L</v>
      </c>
      <c r="S107" s="961" t="b">
        <f t="shared" si="11"/>
        <v>1</v>
      </c>
      <c r="T107" s="816">
        <f t="shared" si="12"/>
        <v>0</v>
      </c>
      <c r="U107" s="816">
        <f>Table1[[#This Row],[Results 
(kg CO2-eq)]]/1000</f>
        <v>0</v>
      </c>
      <c r="V107" s="816">
        <f>IF(Table1[[#This Row],[Results incl. comp. (ton CO2-eq2]]&lt;0,Table1[[#This Row],[Results incl. comp. (ton CO2-eq2]],0)</f>
        <v>0</v>
      </c>
      <c r="W107" s="816">
        <f t="shared" si="13"/>
        <v>0</v>
      </c>
      <c r="X107" s="816">
        <f>Table1[[#This Row],[Results
(ton CO2-eq)]]</f>
        <v>0</v>
      </c>
    </row>
    <row r="108" spans="2:24">
      <c r="B108" s="1049" t="s">
        <v>1614</v>
      </c>
      <c r="C108" s="1049" t="s">
        <v>1167</v>
      </c>
      <c r="D108" s="1049" t="s">
        <v>985</v>
      </c>
      <c r="E108" s="962" t="s">
        <v>1151</v>
      </c>
      <c r="F108" s="814">
        <f>IF(E108="Direct",_xlfn.XLOOKUP(D108,'Input import'!B:B,'Input import'!D:D,""),_xlfn.XLOOKUP(D108,'Facilitatory data'!E:E,'Facilitatory data'!G:G,""))</f>
        <v>0</v>
      </c>
      <c r="G108" s="653" t="str">
        <f>IF(E108="Direct",_xlfn.XLOOKUP(D108,'Input import'!B:B,'Input import'!E:E,_xlfn.XLOOKUP(D108,'Input sheet format'!F:F,'Input sheet format'!I:I,"")),_xlfn.XLOOKUP(D108,'Facilitatory data'!E:E,'Facilitatory data'!H:H,""))</f>
        <v>litres</v>
      </c>
      <c r="H108" s="810">
        <v>1</v>
      </c>
      <c r="I108" s="653" t="s">
        <v>91</v>
      </c>
      <c r="J108" s="811">
        <v>1</v>
      </c>
      <c r="K108" s="653" t="s">
        <v>1153</v>
      </c>
      <c r="L108" s="1098" t="s">
        <v>1803</v>
      </c>
      <c r="M108" s="1034" t="s">
        <v>1667</v>
      </c>
      <c r="N108" s="1098" t="s">
        <v>1713</v>
      </c>
      <c r="Q108" s="703">
        <f>'Emission factors - list'!D9</f>
        <v>3.2509999999999999</v>
      </c>
      <c r="R108" s="653" t="str">
        <f>'Emission factors - list'!E9</f>
        <v>kg CO2-eq / L</v>
      </c>
      <c r="S108" s="961" t="b">
        <f t="shared" si="11"/>
        <v>1</v>
      </c>
      <c r="T108" s="816">
        <f t="shared" si="12"/>
        <v>0</v>
      </c>
      <c r="U108" s="816">
        <f>Table1[[#This Row],[Results 
(kg CO2-eq)]]/1000</f>
        <v>0</v>
      </c>
      <c r="V108" s="816">
        <f>IF(Table1[[#This Row],[Results incl. comp. (ton CO2-eq2]]&lt;0,Table1[[#This Row],[Results incl. comp. (ton CO2-eq2]],0)</f>
        <v>0</v>
      </c>
      <c r="W108" s="816">
        <f t="shared" si="13"/>
        <v>0</v>
      </c>
      <c r="X108" s="816">
        <f>Table1[[#This Row],[Results
(ton CO2-eq)]]</f>
        <v>0</v>
      </c>
    </row>
    <row r="109" spans="2:24">
      <c r="B109" s="1049" t="s">
        <v>1614</v>
      </c>
      <c r="C109" s="1049" t="s">
        <v>1167</v>
      </c>
      <c r="D109" s="1049" t="s">
        <v>986</v>
      </c>
      <c r="E109" s="962" t="s">
        <v>1151</v>
      </c>
      <c r="F109" s="814">
        <f>IF(E109="Direct",_xlfn.XLOOKUP(D109,'Input import'!B:B,'Input import'!D:D,""),_xlfn.XLOOKUP(D109,'Facilitatory data'!E:E,'Facilitatory data'!G:G,""))</f>
        <v>0</v>
      </c>
      <c r="G109" s="653" t="str">
        <f>IF(E109="Direct",_xlfn.XLOOKUP(D109,'Input import'!B:B,'Input import'!E:E,_xlfn.XLOOKUP(D109,'Input sheet format'!F:F,'Input sheet format'!I:I,"")),_xlfn.XLOOKUP(D109,'Facilitatory data'!E:E,'Facilitatory data'!H:H,""))</f>
        <v>litres</v>
      </c>
      <c r="H109" s="810">
        <v>1</v>
      </c>
      <c r="I109" s="653" t="s">
        <v>91</v>
      </c>
      <c r="J109" s="811">
        <v>1</v>
      </c>
      <c r="K109" s="653" t="s">
        <v>1153</v>
      </c>
      <c r="L109" s="1098" t="s">
        <v>1803</v>
      </c>
      <c r="M109" s="1034" t="s">
        <v>1678</v>
      </c>
      <c r="N109" s="1098" t="s">
        <v>1713</v>
      </c>
      <c r="Q109" s="703">
        <f>'Emission factors - list'!D10</f>
        <v>2.7970000000000002</v>
      </c>
      <c r="R109" s="653" t="str">
        <f>'Emission factors - list'!E10</f>
        <v>kg CO2-eq / L</v>
      </c>
      <c r="S109" s="961" t="b">
        <f t="shared" si="11"/>
        <v>1</v>
      </c>
      <c r="T109" s="816">
        <f t="shared" si="12"/>
        <v>0</v>
      </c>
      <c r="U109" s="816">
        <f>Table1[[#This Row],[Results 
(kg CO2-eq)]]/1000</f>
        <v>0</v>
      </c>
      <c r="V109" s="816">
        <f>IF(Table1[[#This Row],[Results incl. comp. (ton CO2-eq2]]&lt;0,Table1[[#This Row],[Results incl. comp. (ton CO2-eq2]],0)</f>
        <v>0</v>
      </c>
      <c r="W109" s="816">
        <f t="shared" si="13"/>
        <v>0</v>
      </c>
      <c r="X109" s="816">
        <f>Table1[[#This Row],[Results
(ton CO2-eq)]]</f>
        <v>0</v>
      </c>
    </row>
    <row r="110" spans="2:24">
      <c r="B110" s="1049" t="s">
        <v>1614</v>
      </c>
      <c r="C110" s="1049" t="s">
        <v>1167</v>
      </c>
      <c r="D110" s="1049" t="s">
        <v>987</v>
      </c>
      <c r="E110" s="962" t="s">
        <v>1151</v>
      </c>
      <c r="F110" s="814">
        <f>IF(E110="Direct",_xlfn.XLOOKUP(D110,'Input import'!B:B,'Input import'!D:D,""),_xlfn.XLOOKUP(D110,'Facilitatory data'!E:E,'Facilitatory data'!G:G,""))</f>
        <v>0</v>
      </c>
      <c r="G110" s="653" t="str">
        <f>IF(E110="Direct",_xlfn.XLOOKUP(D110,'Input import'!B:B,'Input import'!E:E,_xlfn.XLOOKUP(D110,'Input sheet format'!F:F,'Input sheet format'!I:I,"")),_xlfn.XLOOKUP(D110,'Facilitatory data'!E:E,'Facilitatory data'!H:H,""))</f>
        <v>kg</v>
      </c>
      <c r="H110" s="810">
        <v>1</v>
      </c>
      <c r="I110" s="653" t="s">
        <v>96</v>
      </c>
      <c r="J110" s="811">
        <v>1</v>
      </c>
      <c r="K110" s="653" t="s">
        <v>96</v>
      </c>
      <c r="L110" s="1098" t="s">
        <v>1803</v>
      </c>
      <c r="M110" s="1034" t="s">
        <v>366</v>
      </c>
      <c r="N110" s="1098" t="s">
        <v>1664</v>
      </c>
      <c r="Q110" s="703">
        <f>'Emission factors - list'!D14</f>
        <v>0.79400000000000004</v>
      </c>
      <c r="R110" s="653" t="str">
        <f>'Emission factors - list'!E14</f>
        <v>kg CO2-eq / kg</v>
      </c>
      <c r="S110" s="961" t="b">
        <f t="shared" si="11"/>
        <v>1</v>
      </c>
      <c r="T110" s="816">
        <f t="shared" si="12"/>
        <v>0</v>
      </c>
      <c r="U110" s="816">
        <f>Table1[[#This Row],[Results 
(kg CO2-eq)]]/1000</f>
        <v>0</v>
      </c>
      <c r="V110" s="816">
        <f>IF(Table1[[#This Row],[Results incl. comp. (ton CO2-eq2]]&lt;0,Table1[[#This Row],[Results incl. comp. (ton CO2-eq2]],0)</f>
        <v>0</v>
      </c>
      <c r="W110" s="816">
        <f t="shared" si="13"/>
        <v>0</v>
      </c>
      <c r="X110" s="816">
        <f>Table1[[#This Row],[Results
(ton CO2-eq)]]</f>
        <v>0</v>
      </c>
    </row>
    <row r="111" spans="2:24">
      <c r="B111" s="1049" t="s">
        <v>1614</v>
      </c>
      <c r="C111" s="1049" t="s">
        <v>1167</v>
      </c>
      <c r="D111" s="1049" t="s">
        <v>988</v>
      </c>
      <c r="E111" s="962" t="s">
        <v>1151</v>
      </c>
      <c r="F111" s="814">
        <f>IF(E111="Direct",_xlfn.XLOOKUP(D111,'Input import'!B:B,'Input import'!D:D,""),_xlfn.XLOOKUP(D111,'Facilitatory data'!E:E,'Facilitatory data'!G:G,""))</f>
        <v>0</v>
      </c>
      <c r="G111" s="653" t="str">
        <f>IF(E111="Direct",_xlfn.XLOOKUP(D111,'Input import'!B:B,'Input import'!E:E,_xlfn.XLOOKUP(D111,'Input sheet format'!F:F,'Input sheet format'!I:I,"")),_xlfn.XLOOKUP(D111,'Facilitatory data'!E:E,'Facilitatory data'!H:H,""))</f>
        <v>kg</v>
      </c>
      <c r="H111" s="810">
        <v>1</v>
      </c>
      <c r="I111" s="653" t="s">
        <v>96</v>
      </c>
      <c r="J111" s="811">
        <v>1</v>
      </c>
      <c r="K111" s="653" t="s">
        <v>96</v>
      </c>
      <c r="L111" s="1098" t="s">
        <v>1803</v>
      </c>
      <c r="M111" s="1034" t="s">
        <v>1666</v>
      </c>
      <c r="N111" s="1098" t="s">
        <v>1713</v>
      </c>
      <c r="Q111" s="703">
        <f>'Emission factors - list'!D13</f>
        <v>2.831</v>
      </c>
      <c r="R111" s="653" t="str">
        <f>'Emission factors - list'!E13</f>
        <v>kg CO2-eq / kg</v>
      </c>
      <c r="S111" s="961" t="b">
        <f t="shared" si="11"/>
        <v>1</v>
      </c>
      <c r="T111" s="816">
        <f t="shared" si="12"/>
        <v>0</v>
      </c>
      <c r="U111" s="816">
        <f>Table1[[#This Row],[Results 
(kg CO2-eq)]]/1000</f>
        <v>0</v>
      </c>
      <c r="V111" s="816">
        <f>IF(Table1[[#This Row],[Results incl. comp. (ton CO2-eq2]]&lt;0,Table1[[#This Row],[Results incl. comp. (ton CO2-eq2]],0)</f>
        <v>0</v>
      </c>
      <c r="W111" s="816">
        <f t="shared" si="13"/>
        <v>0</v>
      </c>
      <c r="X111" s="816">
        <f>Table1[[#This Row],[Results
(ton CO2-eq)]]</f>
        <v>0</v>
      </c>
    </row>
    <row r="112" spans="2:24">
      <c r="B112" s="1049" t="s">
        <v>1614</v>
      </c>
      <c r="C112" s="1049" t="s">
        <v>1168</v>
      </c>
      <c r="D112" s="1049" t="s">
        <v>385</v>
      </c>
      <c r="E112" s="962" t="s">
        <v>1151</v>
      </c>
      <c r="F112" s="814">
        <f>IF(E112="Direct",_xlfn.XLOOKUP(D112,'Input import'!B:B,'Input import'!D:D,""),_xlfn.XLOOKUP(D112,'Facilitatory data'!E:E,'Facilitatory data'!G:G,""))</f>
        <v>0</v>
      </c>
      <c r="G112" s="653" t="str">
        <f>IF(E112="Direct",_xlfn.XLOOKUP(D112,'Input import'!B:B,'Input import'!E:E,_xlfn.XLOOKUP(D112,'Input sheet format'!F:F,'Input sheet format'!I:I,"")),_xlfn.XLOOKUP(D112,'Facilitatory data'!E:E,'Facilitatory data'!H:H,""))</f>
        <v>tonnes CO2e</v>
      </c>
      <c r="H112" s="810">
        <v>1</v>
      </c>
      <c r="I112" s="653" t="s">
        <v>386</v>
      </c>
      <c r="J112" s="811">
        <v>1000</v>
      </c>
      <c r="K112" s="1098" t="s">
        <v>1719</v>
      </c>
      <c r="L112" s="1034" t="s">
        <v>1168</v>
      </c>
      <c r="M112" s="1098" t="s">
        <v>1805</v>
      </c>
      <c r="N112" s="1098" t="s">
        <v>1807</v>
      </c>
      <c r="Q112" s="703">
        <v>-1</v>
      </c>
      <c r="R112" s="1098" t="s">
        <v>1720</v>
      </c>
      <c r="S112" s="961" t="b">
        <f>IFERROR(_xlfn.TEXTAFTER(R112,"/ ")=K112,"")</f>
        <v>1</v>
      </c>
      <c r="U112" s="816"/>
      <c r="V112" s="816">
        <f>IF(Table1[[#This Row],[Results incl. comp. (ton CO2-eq2]]&lt;0,Table1[[#This Row],[Results incl. comp. (ton CO2-eq2]],0)</f>
        <v>0</v>
      </c>
      <c r="W112" s="816">
        <f t="shared" si="13"/>
        <v>0</v>
      </c>
      <c r="X112" s="816">
        <f>IFERROR(F112*H112*J112*Q112/1000,"Error")</f>
        <v>0</v>
      </c>
    </row>
    <row r="113" spans="1:25">
      <c r="B113" s="1049" t="s">
        <v>1614</v>
      </c>
      <c r="C113" s="1049" t="s">
        <v>1168</v>
      </c>
      <c r="D113" s="1049" t="s">
        <v>388</v>
      </c>
      <c r="E113" s="962" t="s">
        <v>1151</v>
      </c>
      <c r="F113" s="814">
        <f>IF(E113="Direct",_xlfn.XLOOKUP(D113,'Input import'!B:B,'Input import'!D:D,""),_xlfn.XLOOKUP(D113,'Facilitatory data'!E:E,'Facilitatory data'!G:G,""))</f>
        <v>0</v>
      </c>
      <c r="G113" s="653" t="str">
        <f>IF(E113="Direct",_xlfn.XLOOKUP(D113,'Input import'!B:B,'Input import'!E:E,_xlfn.XLOOKUP(D113,'Input sheet format'!F:F,'Input sheet format'!I:I,"")),_xlfn.XLOOKUP(D113,'Facilitatory data'!E:E,'Facilitatory data'!H:H,""))</f>
        <v>tonnes CO2e</v>
      </c>
      <c r="H113" s="810">
        <v>1</v>
      </c>
      <c r="I113" s="653" t="s">
        <v>386</v>
      </c>
      <c r="J113" s="811">
        <v>1000</v>
      </c>
      <c r="K113" s="1098" t="s">
        <v>1719</v>
      </c>
      <c r="L113" s="1034" t="s">
        <v>1168</v>
      </c>
      <c r="M113" s="1098" t="s">
        <v>1804</v>
      </c>
      <c r="N113" s="1098" t="s">
        <v>1807</v>
      </c>
      <c r="Q113" s="703">
        <v>-1</v>
      </c>
      <c r="R113" s="1098" t="s">
        <v>1720</v>
      </c>
      <c r="S113" s="961" t="b">
        <f t="shared" si="11"/>
        <v>1</v>
      </c>
      <c r="U113" s="816"/>
      <c r="V113" s="816">
        <f>IF(Table1[[#This Row],[Results incl. comp. (ton CO2-eq2]]&lt;0,Table1[[#This Row],[Results incl. comp. (ton CO2-eq2]],0)</f>
        <v>0</v>
      </c>
      <c r="W113" s="816">
        <f t="shared" si="13"/>
        <v>0</v>
      </c>
      <c r="X113" s="816">
        <f t="shared" ref="X113:X114" si="14">IFERROR(F113*H113*J113*Q113/1000,"Error")</f>
        <v>0</v>
      </c>
    </row>
    <row r="114" spans="1:25">
      <c r="B114" s="1049" t="s">
        <v>1614</v>
      </c>
      <c r="C114" s="1049" t="s">
        <v>1168</v>
      </c>
      <c r="D114" s="1049" t="s">
        <v>390</v>
      </c>
      <c r="E114" s="962" t="s">
        <v>1151</v>
      </c>
      <c r="F114" s="814">
        <f>IF(E114="Direct",_xlfn.XLOOKUP(D114,'Input import'!B:B,'Input import'!D:D,""),_xlfn.XLOOKUP(D114,'Facilitatory data'!E:E,'Facilitatory data'!G:G,""))</f>
        <v>0</v>
      </c>
      <c r="G114" s="653" t="str">
        <f>IF(E114="Direct",_xlfn.XLOOKUP(D114,'Input import'!B:B,'Input import'!E:E,_xlfn.XLOOKUP(D114,'Input sheet format'!F:F,'Input sheet format'!I:I,"")),_xlfn.XLOOKUP(D114,'Facilitatory data'!E:E,'Facilitatory data'!H:H,""))</f>
        <v>tonnes CO2e</v>
      </c>
      <c r="H114" s="810">
        <v>1</v>
      </c>
      <c r="I114" s="653" t="s">
        <v>386</v>
      </c>
      <c r="J114" s="811">
        <v>1000</v>
      </c>
      <c r="K114" s="1098" t="s">
        <v>1719</v>
      </c>
      <c r="L114" s="1034" t="s">
        <v>1168</v>
      </c>
      <c r="M114" s="1098" t="s">
        <v>1806</v>
      </c>
      <c r="N114" s="1098" t="s">
        <v>1807</v>
      </c>
      <c r="Q114" s="703">
        <v>-1</v>
      </c>
      <c r="R114" s="1098" t="s">
        <v>1720</v>
      </c>
      <c r="S114" s="961" t="b">
        <f t="shared" si="11"/>
        <v>1</v>
      </c>
      <c r="U114" s="816"/>
      <c r="V114" s="816">
        <f>IF(Table1[[#This Row],[Results incl. comp. (ton CO2-eq2]]&lt;0,Table1[[#This Row],[Results incl. comp. (ton CO2-eq2]],0)</f>
        <v>0</v>
      </c>
      <c r="W114" s="816">
        <f t="shared" si="13"/>
        <v>0</v>
      </c>
      <c r="X114" s="816">
        <f t="shared" si="14"/>
        <v>0</v>
      </c>
    </row>
    <row r="115" spans="1:25">
      <c r="B115" s="1050" t="s">
        <v>1169</v>
      </c>
      <c r="C115" s="1050" t="s">
        <v>1717</v>
      </c>
      <c r="D115" s="1050" t="s">
        <v>393</v>
      </c>
      <c r="E115" s="965" t="s">
        <v>1157</v>
      </c>
      <c r="F115" s="814">
        <f>IF(E115="Direct",_xlfn.XLOOKUP(D115,'Input import'!B:B,'Input import'!D:D,""),_xlfn.XLOOKUP(D115,'Facilitatory data'!E:E,'Facilitatory data'!G:G,""))</f>
        <v>0</v>
      </c>
      <c r="G115" s="653" t="str">
        <f>IF(E115="Direct",_xlfn.XLOOKUP(D115,'Input import'!B:B,'Input import'!E:E,_xlfn.XLOOKUP(D115,'Input sheet format'!F:F,'Input sheet format'!I:I,"")),_xlfn.XLOOKUP(D115,'Facilitatory data'!E:E,'Facilitatory data'!H:H,""))</f>
        <v>Litres</v>
      </c>
      <c r="H115" s="653">
        <v>1</v>
      </c>
      <c r="I115" s="653" t="s">
        <v>91</v>
      </c>
      <c r="J115" s="811">
        <v>1</v>
      </c>
      <c r="K115" s="962" t="s">
        <v>1153</v>
      </c>
      <c r="L115" s="1098" t="s">
        <v>1796</v>
      </c>
      <c r="M115" s="1098" t="s">
        <v>1774</v>
      </c>
      <c r="N115" s="1098" t="s">
        <v>1807</v>
      </c>
      <c r="O115" s="851"/>
      <c r="P115" s="1097" t="s">
        <v>1716</v>
      </c>
      <c r="Q115" s="703">
        <f>'Emission factors - list'!D112</f>
        <v>3.22649188554013E-4</v>
      </c>
      <c r="R115" s="653" t="str">
        <f>'Emission factors - list'!E112</f>
        <v>kg CO2-eq / L</v>
      </c>
      <c r="S115" s="961" t="b">
        <f t="shared" si="11"/>
        <v>1</v>
      </c>
      <c r="T115" s="816">
        <f t="shared" si="12"/>
        <v>0</v>
      </c>
      <c r="U115" s="816">
        <f>Table1[[#This Row],[Results 
(kg CO2-eq)]]/1000</f>
        <v>0</v>
      </c>
      <c r="V115" s="816">
        <f>IF(Table1[[#This Row],[Results incl. comp. (ton CO2-eq2]]&lt;0,Table1[[#This Row],[Results incl. comp. (ton CO2-eq2]],0)</f>
        <v>0</v>
      </c>
      <c r="W115" s="816">
        <f t="shared" si="13"/>
        <v>0</v>
      </c>
      <c r="X115" s="816">
        <f>Table1[[#This Row],[Results
(ton CO2-eq)]]</f>
        <v>0</v>
      </c>
    </row>
    <row r="116" spans="1:25">
      <c r="B116" s="1050" t="s">
        <v>1169</v>
      </c>
      <c r="C116" s="1050" t="s">
        <v>1717</v>
      </c>
      <c r="D116" s="1050" t="s">
        <v>395</v>
      </c>
      <c r="E116" s="965" t="s">
        <v>1157</v>
      </c>
      <c r="F116" s="814">
        <f>IF(E116="Direct",_xlfn.XLOOKUP(D116,'Input import'!B:B,'Input import'!D:D,""),_xlfn.XLOOKUP(D116,'Facilitatory data'!E:E,'Facilitatory data'!G:G,""))</f>
        <v>0</v>
      </c>
      <c r="G116" s="653" t="str">
        <f>IF(E116="Direct",_xlfn.XLOOKUP(D116,'Input import'!B:B,'Input import'!E:E,_xlfn.XLOOKUP(D116,'Input sheet format'!F:F,'Input sheet format'!I:I,"")),_xlfn.XLOOKUP(D116,'Facilitatory data'!E:E,'Facilitatory data'!H:H,""))</f>
        <v>Litres</v>
      </c>
      <c r="H116" s="653">
        <v>1</v>
      </c>
      <c r="I116" s="653" t="s">
        <v>91</v>
      </c>
      <c r="J116" s="811">
        <v>1</v>
      </c>
      <c r="K116" s="962" t="s">
        <v>1153</v>
      </c>
      <c r="L116" s="1098" t="s">
        <v>1796</v>
      </c>
      <c r="M116" s="1098" t="s">
        <v>1775</v>
      </c>
      <c r="N116" s="1098" t="s">
        <v>1807</v>
      </c>
      <c r="O116" s="851"/>
      <c r="P116" s="851"/>
      <c r="Q116" s="964">
        <v>0</v>
      </c>
      <c r="R116" s="653" t="str">
        <f>'Emission factors - list'!E113</f>
        <v>kg CO2-eq / L</v>
      </c>
      <c r="S116" s="961" t="b">
        <f t="shared" si="11"/>
        <v>1</v>
      </c>
      <c r="T116" s="816">
        <f t="shared" si="12"/>
        <v>0</v>
      </c>
      <c r="U116" s="816">
        <f>Table1[[#This Row],[Results 
(kg CO2-eq)]]/1000</f>
        <v>0</v>
      </c>
      <c r="V116" s="816">
        <f>IF(Table1[[#This Row],[Results incl. comp. (ton CO2-eq2]]&lt;0,Table1[[#This Row],[Results incl. comp. (ton CO2-eq2]],0)</f>
        <v>0</v>
      </c>
      <c r="W116" s="816">
        <f t="shared" si="13"/>
        <v>0</v>
      </c>
      <c r="X116" s="816">
        <f>Table1[[#This Row],[Results
(ton CO2-eq)]]</f>
        <v>0</v>
      </c>
    </row>
    <row r="117" spans="1:25">
      <c r="B117" s="1050" t="s">
        <v>1169</v>
      </c>
      <c r="C117" s="1050" t="s">
        <v>1717</v>
      </c>
      <c r="D117" s="1050" t="s">
        <v>397</v>
      </c>
      <c r="E117" s="965" t="s">
        <v>1157</v>
      </c>
      <c r="F117" s="814">
        <f>IF(E117="Direct",_xlfn.XLOOKUP(D117,'Input import'!B:B,'Input import'!D:D,""),_xlfn.XLOOKUP(D117,'Facilitatory data'!E:E,'Facilitatory data'!G:G,""))</f>
        <v>0</v>
      </c>
      <c r="G117" s="653" t="str">
        <f>IF(E117="Direct",_xlfn.XLOOKUP(D117,'Input import'!B:B,'Input import'!E:E,_xlfn.XLOOKUP(D117,'Input sheet format'!F:F,'Input sheet format'!I:I,"")),_xlfn.XLOOKUP(D117,'Facilitatory data'!E:E,'Facilitatory data'!H:H,""))</f>
        <v>Litres</v>
      </c>
      <c r="H117" s="653">
        <v>1</v>
      </c>
      <c r="I117" s="653" t="s">
        <v>91</v>
      </c>
      <c r="J117" s="811">
        <v>1</v>
      </c>
      <c r="K117" s="962" t="s">
        <v>1153</v>
      </c>
      <c r="L117" s="1034" t="s">
        <v>1679</v>
      </c>
      <c r="M117" s="1098" t="s">
        <v>1807</v>
      </c>
      <c r="N117" s="1098" t="s">
        <v>1807</v>
      </c>
      <c r="O117" s="851"/>
      <c r="P117" s="851"/>
      <c r="Q117" s="964">
        <v>0</v>
      </c>
      <c r="R117" s="653" t="str">
        <f>'Emission factors - list'!E114</f>
        <v>kg CO2-eq / L</v>
      </c>
      <c r="S117" s="961" t="b">
        <f t="shared" si="11"/>
        <v>1</v>
      </c>
      <c r="T117" s="816">
        <f t="shared" si="12"/>
        <v>0</v>
      </c>
      <c r="U117" s="816">
        <f>Table1[[#This Row],[Results 
(kg CO2-eq)]]/1000</f>
        <v>0</v>
      </c>
      <c r="V117" s="816">
        <f>IF(Table1[[#This Row],[Results incl. comp. (ton CO2-eq2]]&lt;0,Table1[[#This Row],[Results incl. comp. (ton CO2-eq2]],0)</f>
        <v>0</v>
      </c>
      <c r="W117" s="816">
        <f t="shared" si="13"/>
        <v>0</v>
      </c>
      <c r="X117" s="816">
        <f>Table1[[#This Row],[Results
(ton CO2-eq)]]</f>
        <v>0</v>
      </c>
    </row>
    <row r="118" spans="1:25">
      <c r="B118" s="1050" t="s">
        <v>1169</v>
      </c>
      <c r="C118" s="1050" t="s">
        <v>1718</v>
      </c>
      <c r="D118" s="1050" t="s">
        <v>399</v>
      </c>
      <c r="E118" s="965" t="s">
        <v>1157</v>
      </c>
      <c r="F118" s="814">
        <f>IF(E118="Direct",_xlfn.XLOOKUP(D118,'Input import'!B:B,'Input import'!D:D,""),_xlfn.XLOOKUP(D118,'Facilitatory data'!E:E,'Facilitatory data'!G:G,""))</f>
        <v>0</v>
      </c>
      <c r="G118" s="653" t="str">
        <f>IF(E118="Direct",_xlfn.XLOOKUP(D118,'Input import'!B:B,'Input import'!E:E,_xlfn.XLOOKUP(D118,'Input sheet format'!F:F,'Input sheet format'!I:I,"")),_xlfn.XLOOKUP(D118,'Facilitatory data'!E:E,'Facilitatory data'!H:H,""))</f>
        <v>Litres</v>
      </c>
      <c r="H118" s="653">
        <v>1</v>
      </c>
      <c r="I118" s="653" t="s">
        <v>91</v>
      </c>
      <c r="J118" s="811">
        <v>1</v>
      </c>
      <c r="K118" s="962" t="s">
        <v>1153</v>
      </c>
      <c r="L118" s="1098" t="s">
        <v>1797</v>
      </c>
      <c r="M118" s="1098" t="s">
        <v>1798</v>
      </c>
      <c r="N118" s="1098" t="s">
        <v>1807</v>
      </c>
      <c r="O118" s="851"/>
      <c r="P118" s="851"/>
      <c r="Q118" s="703">
        <v>0</v>
      </c>
      <c r="R118" s="653" t="str">
        <f>'Emission factors - list'!E115</f>
        <v>kg CO2-eq / L</v>
      </c>
      <c r="S118" s="961" t="b">
        <f t="shared" si="11"/>
        <v>1</v>
      </c>
      <c r="T118" s="816">
        <f t="shared" si="12"/>
        <v>0</v>
      </c>
      <c r="U118" s="816">
        <f>Table1[[#This Row],[Results 
(kg CO2-eq)]]/1000</f>
        <v>0</v>
      </c>
      <c r="V118" s="816">
        <f>IF(Table1[[#This Row],[Results incl. comp. (ton CO2-eq2]]&lt;0,Table1[[#This Row],[Results incl. comp. (ton CO2-eq2]],0)</f>
        <v>0</v>
      </c>
      <c r="W118" s="816">
        <f t="shared" si="13"/>
        <v>0</v>
      </c>
      <c r="X118" s="816">
        <f>Table1[[#This Row],[Results
(ton CO2-eq)]]</f>
        <v>0</v>
      </c>
    </row>
    <row r="119" spans="1:25" s="820" customFormat="1">
      <c r="A119" s="154"/>
      <c r="B119" s="1050" t="s">
        <v>1169</v>
      </c>
      <c r="C119" s="1050" t="s">
        <v>1718</v>
      </c>
      <c r="D119" s="1051" t="s">
        <v>585</v>
      </c>
      <c r="E119" s="965" t="s">
        <v>1157</v>
      </c>
      <c r="F119" s="814">
        <f>IF(E119="Direct",_xlfn.XLOOKUP(D119,'Input import'!B:B,'Input import'!D:D,""),_xlfn.XLOOKUP(D119,'Facilitatory data'!E:E,'Facilitatory data'!G:G,""))</f>
        <v>0</v>
      </c>
      <c r="G119" s="653" t="str">
        <f>IF(E119="Direct",_xlfn.XLOOKUP(D119,'Input import'!B:B,'Input import'!E:E,_xlfn.XLOOKUP(D119,'Input sheet format'!F:F,'Input sheet format'!I:I,"")),_xlfn.XLOOKUP(D119,'Facilitatory data'!E:E,'Facilitatory data'!H:H,""))</f>
        <v>Litres</v>
      </c>
      <c r="H119" s="653">
        <v>1</v>
      </c>
      <c r="I119" s="653" t="s">
        <v>91</v>
      </c>
      <c r="J119" s="811">
        <v>1</v>
      </c>
      <c r="K119" s="962" t="s">
        <v>1153</v>
      </c>
      <c r="L119" s="1098" t="s">
        <v>1797</v>
      </c>
      <c r="M119" s="1098" t="s">
        <v>1799</v>
      </c>
      <c r="N119" s="1098" t="s">
        <v>1807</v>
      </c>
      <c r="O119" s="851"/>
      <c r="P119" s="851"/>
      <c r="Q119" s="703">
        <f>'Emission factors - list'!D115</f>
        <v>3.7985017414302199E-4</v>
      </c>
      <c r="R119" s="653" t="str">
        <f>'Emission factors - list'!E115</f>
        <v>kg CO2-eq / L</v>
      </c>
      <c r="S119" s="961" t="b">
        <f t="shared" si="11"/>
        <v>1</v>
      </c>
      <c r="T119" s="816">
        <f t="shared" si="12"/>
        <v>0</v>
      </c>
      <c r="U119" s="816">
        <f>Table1[[#This Row],[Results 
(kg CO2-eq)]]/1000</f>
        <v>0</v>
      </c>
      <c r="V119" s="816">
        <f>IF(Table1[[#This Row],[Results incl. comp. (ton CO2-eq2]]&lt;0,Table1[[#This Row],[Results incl. comp. (ton CO2-eq2]],0)</f>
        <v>0</v>
      </c>
      <c r="W119" s="816">
        <f t="shared" si="13"/>
        <v>0</v>
      </c>
      <c r="X119" s="816">
        <f>Table1[[#This Row],[Results
(ton CO2-eq)]]</f>
        <v>0</v>
      </c>
      <c r="Y119" s="653"/>
    </row>
    <row r="120" spans="1:25">
      <c r="B120" s="1052" t="s">
        <v>1170</v>
      </c>
      <c r="C120" s="1052" t="s">
        <v>1170</v>
      </c>
      <c r="D120" s="1052" t="s">
        <v>416</v>
      </c>
      <c r="E120" s="653" t="s">
        <v>1151</v>
      </c>
      <c r="F120" s="814">
        <f>IF(E120="Direct",_xlfn.XLOOKUP(D120,'Input import'!B:B,'Input import'!D:D,""),_xlfn.XLOOKUP(D120,'Facilitatory data'!E:E,'Facilitatory data'!G:G,""))</f>
        <v>0</v>
      </c>
      <c r="G120" s="653" t="str">
        <f>IF(E120="Direct",_xlfn.XLOOKUP(D120,'Input import'!B:B,'Input import'!E:E,_xlfn.XLOOKUP(D120,'Input sheet format'!F:F,'Input sheet format'!I:I,"")),_xlfn.XLOOKUP(D120,'Facilitatory data'!E:E,'Facilitatory data'!H:H,""))</f>
        <v>kg</v>
      </c>
      <c r="H120" s="653">
        <v>1</v>
      </c>
      <c r="I120" s="653" t="s">
        <v>96</v>
      </c>
      <c r="J120" s="811">
        <v>1</v>
      </c>
      <c r="K120" s="653" t="s">
        <v>96</v>
      </c>
      <c r="L120" s="653" t="s">
        <v>416</v>
      </c>
      <c r="M120" s="1098" t="s">
        <v>1807</v>
      </c>
      <c r="N120" s="1098" t="s">
        <v>1807</v>
      </c>
      <c r="P120" s="1097" t="s">
        <v>96</v>
      </c>
      <c r="Q120" s="703">
        <f>'Emission factors - list'!D77</f>
        <v>1.7339003357442857</v>
      </c>
      <c r="R120" s="653" t="str">
        <f>'Emission factors - list'!E77</f>
        <v>kg CO2-eq / kg</v>
      </c>
      <c r="S120" s="961" t="b">
        <f t="shared" si="11"/>
        <v>1</v>
      </c>
      <c r="T120" s="816">
        <f t="shared" si="12"/>
        <v>0</v>
      </c>
      <c r="U120" s="816">
        <f>Table1[[#This Row],[Results 
(kg CO2-eq)]]/1000</f>
        <v>0</v>
      </c>
      <c r="V120" s="816">
        <f>IF(Table1[[#This Row],[Results incl. comp. (ton CO2-eq2]]&lt;0,Table1[[#This Row],[Results incl. comp. (ton CO2-eq2]],0)</f>
        <v>0</v>
      </c>
      <c r="W120" s="816">
        <f t="shared" si="13"/>
        <v>0</v>
      </c>
      <c r="X120" s="816">
        <f>Table1[[#This Row],[Results
(ton CO2-eq)]]</f>
        <v>0</v>
      </c>
    </row>
    <row r="121" spans="1:25">
      <c r="B121" s="1052" t="s">
        <v>1170</v>
      </c>
      <c r="C121" s="1052" t="s">
        <v>1170</v>
      </c>
      <c r="D121" s="1052" t="s">
        <v>418</v>
      </c>
      <c r="E121" s="653" t="s">
        <v>1151</v>
      </c>
      <c r="F121" s="814">
        <f>IF(E121="Direct",_xlfn.XLOOKUP(D121,'Input import'!B:B,'Input import'!D:D,""),_xlfn.XLOOKUP(D121,'Facilitatory data'!E:E,'Facilitatory data'!G:G,""))</f>
        <v>0</v>
      </c>
      <c r="G121" s="653" t="str">
        <f>IF(E121="Direct",_xlfn.XLOOKUP(D121,'Input import'!B:B,'Input import'!E:E,_xlfn.XLOOKUP(D121,'Input sheet format'!F:F,'Input sheet format'!I:I,"")),_xlfn.XLOOKUP(D121,'Facilitatory data'!E:E,'Facilitatory data'!H:H,""))</f>
        <v>kg</v>
      </c>
      <c r="H121" s="653">
        <v>1</v>
      </c>
      <c r="I121" s="653" t="s">
        <v>96</v>
      </c>
      <c r="J121" s="811">
        <v>1</v>
      </c>
      <c r="K121" s="653" t="s">
        <v>96</v>
      </c>
      <c r="L121" s="653" t="s">
        <v>418</v>
      </c>
      <c r="M121" s="1098" t="s">
        <v>1807</v>
      </c>
      <c r="N121" s="1098" t="s">
        <v>1807</v>
      </c>
      <c r="Q121" s="703">
        <f>'Emission factors - list'!D78</f>
        <v>0.35</v>
      </c>
      <c r="R121" s="653" t="str">
        <f>'Emission factors - list'!E78</f>
        <v>kg CO2-eq / kg</v>
      </c>
      <c r="S121" s="961" t="b">
        <f t="shared" si="11"/>
        <v>1</v>
      </c>
      <c r="T121" s="816">
        <f t="shared" si="12"/>
        <v>0</v>
      </c>
      <c r="U121" s="816">
        <f>Table1[[#This Row],[Results 
(kg CO2-eq)]]/1000</f>
        <v>0</v>
      </c>
      <c r="V121" s="816">
        <f>IF(Table1[[#This Row],[Results incl. comp. (ton CO2-eq2]]&lt;0,Table1[[#This Row],[Results incl. comp. (ton CO2-eq2]],0)</f>
        <v>0</v>
      </c>
      <c r="W121" s="816">
        <f t="shared" si="13"/>
        <v>0</v>
      </c>
      <c r="X121" s="816">
        <f>Table1[[#This Row],[Results
(ton CO2-eq)]]</f>
        <v>0</v>
      </c>
    </row>
    <row r="122" spans="1:25">
      <c r="B122" s="1052" t="s">
        <v>1170</v>
      </c>
      <c r="C122" s="1052" t="s">
        <v>1170</v>
      </c>
      <c r="D122" s="1052" t="s">
        <v>420</v>
      </c>
      <c r="E122" s="653" t="s">
        <v>1151</v>
      </c>
      <c r="F122" s="814">
        <f>IF(E122="Direct",_xlfn.XLOOKUP(D122,'Input import'!B:B,'Input import'!D:D,""),_xlfn.XLOOKUP(D122,'Facilitatory data'!E:E,'Facilitatory data'!G:G,""))</f>
        <v>0</v>
      </c>
      <c r="G122" s="653" t="str">
        <f>IF(E122="Direct",_xlfn.XLOOKUP(D122,'Input import'!B:B,'Input import'!E:E,_xlfn.XLOOKUP(D122,'Input sheet format'!F:F,'Input sheet format'!I:I,"")),_xlfn.XLOOKUP(D122,'Facilitatory data'!E:E,'Facilitatory data'!H:H,""))</f>
        <v>kg</v>
      </c>
      <c r="H122" s="653">
        <v>1</v>
      </c>
      <c r="I122" s="653" t="s">
        <v>96</v>
      </c>
      <c r="J122" s="811">
        <v>1</v>
      </c>
      <c r="K122" s="653" t="s">
        <v>96</v>
      </c>
      <c r="L122" s="653" t="s">
        <v>420</v>
      </c>
      <c r="M122" s="1098" t="s">
        <v>1807</v>
      </c>
      <c r="N122" s="1098" t="s">
        <v>1807</v>
      </c>
      <c r="Q122" s="703">
        <f>'Emission factors - list'!D79</f>
        <v>0.16447540243757511</v>
      </c>
      <c r="R122" s="653" t="str">
        <f>'Emission factors - list'!E79</f>
        <v>kg CO2-eq / kg</v>
      </c>
      <c r="S122" s="961" t="b">
        <f t="shared" si="11"/>
        <v>1</v>
      </c>
      <c r="T122" s="816">
        <f t="shared" si="12"/>
        <v>0</v>
      </c>
      <c r="U122" s="816">
        <f>Table1[[#This Row],[Results 
(kg CO2-eq)]]/1000</f>
        <v>0</v>
      </c>
      <c r="V122" s="816">
        <f>IF(Table1[[#This Row],[Results incl. comp. (ton CO2-eq2]]&lt;0,Table1[[#This Row],[Results incl. comp. (ton CO2-eq2]],0)</f>
        <v>0</v>
      </c>
      <c r="W122" s="816">
        <f t="shared" si="13"/>
        <v>0</v>
      </c>
      <c r="X122" s="816">
        <f>Table1[[#This Row],[Results
(ton CO2-eq)]]</f>
        <v>0</v>
      </c>
    </row>
    <row r="123" spans="1:25">
      <c r="B123" s="1052" t="s">
        <v>1170</v>
      </c>
      <c r="C123" s="1052" t="s">
        <v>1170</v>
      </c>
      <c r="D123" s="1052" t="s">
        <v>422</v>
      </c>
      <c r="E123" s="653" t="s">
        <v>1151</v>
      </c>
      <c r="F123" s="814">
        <f>IF(E123="Direct",_xlfn.XLOOKUP(D123,'Input import'!B:B,'Input import'!D:D,""),_xlfn.XLOOKUP(D123,'Facilitatory data'!E:E,'Facilitatory data'!G:G,""))</f>
        <v>0</v>
      </c>
      <c r="G123" s="653" t="str">
        <f>IF(E123="Direct",_xlfn.XLOOKUP(D123,'Input import'!B:B,'Input import'!E:E,_xlfn.XLOOKUP(D123,'Input sheet format'!F:F,'Input sheet format'!I:I,"")),_xlfn.XLOOKUP(D123,'Facilitatory data'!E:E,'Facilitatory data'!H:H,""))</f>
        <v>kg</v>
      </c>
      <c r="H123" s="653">
        <v>1</v>
      </c>
      <c r="I123" s="653" t="s">
        <v>96</v>
      </c>
      <c r="J123" s="811">
        <v>1</v>
      </c>
      <c r="K123" s="653" t="s">
        <v>96</v>
      </c>
      <c r="L123" s="653" t="s">
        <v>422</v>
      </c>
      <c r="M123" s="1098" t="s">
        <v>1807</v>
      </c>
      <c r="N123" s="1098" t="s">
        <v>1807</v>
      </c>
      <c r="Q123" s="703">
        <f>'Emission factors - list'!D80</f>
        <v>1.8004000000000002</v>
      </c>
      <c r="R123" s="653" t="str">
        <f>'Emission factors - list'!E80</f>
        <v>kg CO2-eq / kg</v>
      </c>
      <c r="S123" s="961" t="b">
        <f t="shared" si="11"/>
        <v>1</v>
      </c>
      <c r="T123" s="816">
        <f t="shared" si="12"/>
        <v>0</v>
      </c>
      <c r="U123" s="816">
        <f>Table1[[#This Row],[Results 
(kg CO2-eq)]]/1000</f>
        <v>0</v>
      </c>
      <c r="V123" s="816">
        <f>IF(Table1[[#This Row],[Results incl. comp. (ton CO2-eq2]]&lt;0,Table1[[#This Row],[Results incl. comp. (ton CO2-eq2]],0)</f>
        <v>0</v>
      </c>
      <c r="W123" s="816">
        <f t="shared" si="13"/>
        <v>0</v>
      </c>
      <c r="X123" s="816">
        <f>Table1[[#This Row],[Results
(ton CO2-eq)]]</f>
        <v>0</v>
      </c>
    </row>
    <row r="124" spans="1:25">
      <c r="B124" s="1052" t="s">
        <v>1170</v>
      </c>
      <c r="C124" s="1052" t="s">
        <v>1170</v>
      </c>
      <c r="D124" s="1052" t="s">
        <v>424</v>
      </c>
      <c r="E124" s="653" t="s">
        <v>1151</v>
      </c>
      <c r="F124" s="814">
        <f>IF(E124="Direct",_xlfn.XLOOKUP(D124,'Input import'!B:B,'Input import'!D:D,""),_xlfn.XLOOKUP(D124,'Facilitatory data'!E:E,'Facilitatory data'!G:G,""))</f>
        <v>0</v>
      </c>
      <c r="G124" s="653" t="str">
        <f>IF(E124="Direct",_xlfn.XLOOKUP(D124,'Input import'!B:B,'Input import'!E:E,_xlfn.XLOOKUP(D124,'Input sheet format'!F:F,'Input sheet format'!I:I,"")),_xlfn.XLOOKUP(D124,'Facilitatory data'!E:E,'Facilitatory data'!H:H,""))</f>
        <v>kg</v>
      </c>
      <c r="H124" s="653">
        <v>1</v>
      </c>
      <c r="I124" s="653" t="s">
        <v>96</v>
      </c>
      <c r="J124" s="811">
        <v>1</v>
      </c>
      <c r="K124" s="653" t="s">
        <v>96</v>
      </c>
      <c r="L124" s="653" t="s">
        <v>424</v>
      </c>
      <c r="M124" s="1098" t="s">
        <v>1807</v>
      </c>
      <c r="N124" s="1098" t="s">
        <v>1807</v>
      </c>
      <c r="Q124" s="703">
        <f>'Emission factors - list'!D81</f>
        <v>4.0242356546090301</v>
      </c>
      <c r="R124" s="653" t="str">
        <f>'Emission factors - list'!E81</f>
        <v>kg CO2-eq / kg</v>
      </c>
      <c r="S124" s="961" t="b">
        <f t="shared" si="11"/>
        <v>1</v>
      </c>
      <c r="T124" s="816">
        <f t="shared" si="12"/>
        <v>0</v>
      </c>
      <c r="U124" s="816">
        <f>Table1[[#This Row],[Results 
(kg CO2-eq)]]/1000</f>
        <v>0</v>
      </c>
      <c r="V124" s="816">
        <f>IF(Table1[[#This Row],[Results incl. comp. (ton CO2-eq2]]&lt;0,Table1[[#This Row],[Results incl. comp. (ton CO2-eq2]],0)</f>
        <v>0</v>
      </c>
      <c r="W124" s="816">
        <f t="shared" si="13"/>
        <v>0</v>
      </c>
      <c r="X124" s="816">
        <f>Table1[[#This Row],[Results
(ton CO2-eq)]]</f>
        <v>0</v>
      </c>
    </row>
    <row r="125" spans="1:25">
      <c r="B125" s="1052" t="s">
        <v>1170</v>
      </c>
      <c r="C125" s="1052" t="s">
        <v>1170</v>
      </c>
      <c r="D125" s="1052" t="s">
        <v>426</v>
      </c>
      <c r="E125" s="653" t="s">
        <v>1151</v>
      </c>
      <c r="F125" s="814">
        <f>IF(E125="Direct",_xlfn.XLOOKUP(D125,'Input import'!B:B,'Input import'!D:D,""),_xlfn.XLOOKUP(D125,'Facilitatory data'!E:E,'Facilitatory data'!G:G,""))</f>
        <v>0</v>
      </c>
      <c r="G125" s="653" t="str">
        <f>IF(E125="Direct",_xlfn.XLOOKUP(D125,'Input import'!B:B,'Input import'!E:E,_xlfn.XLOOKUP(D125,'Input sheet format'!F:F,'Input sheet format'!I:I,"")),_xlfn.XLOOKUP(D125,'Facilitatory data'!E:E,'Facilitatory data'!H:H,""))</f>
        <v>kg</v>
      </c>
      <c r="H125" s="653">
        <v>1</v>
      </c>
      <c r="I125" s="653" t="s">
        <v>96</v>
      </c>
      <c r="J125" s="811">
        <v>1</v>
      </c>
      <c r="K125" s="653" t="s">
        <v>96</v>
      </c>
      <c r="L125" s="653" t="s">
        <v>426</v>
      </c>
      <c r="M125" s="1098" t="s">
        <v>1807</v>
      </c>
      <c r="N125" s="1098" t="s">
        <v>1807</v>
      </c>
      <c r="Q125" s="703">
        <f>'Emission factors - list'!D85</f>
        <v>20.666666666666668</v>
      </c>
      <c r="R125" s="653" t="str">
        <f>'Emission factors - list'!E84</f>
        <v>kg CO2-eq / kg</v>
      </c>
      <c r="S125" s="961" t="b">
        <f t="shared" si="11"/>
        <v>1</v>
      </c>
      <c r="T125" s="816">
        <f t="shared" si="12"/>
        <v>0</v>
      </c>
      <c r="U125" s="816">
        <f>Table1[[#This Row],[Results 
(kg CO2-eq)]]/1000</f>
        <v>0</v>
      </c>
      <c r="V125" s="816">
        <f>IF(Table1[[#This Row],[Results incl. comp. (ton CO2-eq2]]&lt;0,Table1[[#This Row],[Results incl. comp. (ton CO2-eq2]],0)</f>
        <v>0</v>
      </c>
      <c r="W125" s="816">
        <f t="shared" si="13"/>
        <v>0</v>
      </c>
      <c r="X125" s="816">
        <f>Table1[[#This Row],[Results
(ton CO2-eq)]]</f>
        <v>0</v>
      </c>
    </row>
    <row r="126" spans="1:25">
      <c r="B126" s="1052" t="s">
        <v>1170</v>
      </c>
      <c r="C126" s="1052" t="s">
        <v>1170</v>
      </c>
      <c r="D126" s="1052" t="s">
        <v>428</v>
      </c>
      <c r="E126" s="653" t="s">
        <v>1151</v>
      </c>
      <c r="F126" s="814">
        <f>IF(E126="Direct",_xlfn.XLOOKUP(D126,'Input import'!B:B,'Input import'!D:D,""),_xlfn.XLOOKUP(D126,'Facilitatory data'!E:E,'Facilitatory data'!G:G,""))</f>
        <v>0</v>
      </c>
      <c r="G126" s="653" t="str">
        <f>IF(E126="Direct",_xlfn.XLOOKUP(D126,'Input import'!B:B,'Input import'!E:E,_xlfn.XLOOKUP(D126,'Input sheet format'!F:F,'Input sheet format'!I:I,"")),_xlfn.XLOOKUP(D126,'Facilitatory data'!E:E,'Facilitatory data'!H:H,""))</f>
        <v>kg</v>
      </c>
      <c r="H126" s="653">
        <v>1</v>
      </c>
      <c r="I126" s="653" t="s">
        <v>96</v>
      </c>
      <c r="J126" s="811">
        <v>1</v>
      </c>
      <c r="K126" s="653" t="s">
        <v>96</v>
      </c>
      <c r="L126" s="653" t="s">
        <v>428</v>
      </c>
      <c r="M126" s="1098" t="s">
        <v>1807</v>
      </c>
      <c r="N126" s="1098" t="s">
        <v>1807</v>
      </c>
      <c r="Q126" s="703">
        <f>'Emission factors - list'!D84</f>
        <v>6</v>
      </c>
      <c r="R126" s="653" t="str">
        <f>'Emission factors - list'!E85</f>
        <v>kg CO2-eq / kg</v>
      </c>
      <c r="S126" s="961" t="b">
        <f t="shared" si="11"/>
        <v>1</v>
      </c>
      <c r="T126" s="816">
        <f t="shared" si="12"/>
        <v>0</v>
      </c>
      <c r="U126" s="816">
        <f>Table1[[#This Row],[Results 
(kg CO2-eq)]]/1000</f>
        <v>0</v>
      </c>
      <c r="V126" s="816">
        <f>IF(Table1[[#This Row],[Results incl. comp. (ton CO2-eq2]]&lt;0,Table1[[#This Row],[Results incl. comp. (ton CO2-eq2]],0)</f>
        <v>0</v>
      </c>
      <c r="W126" s="816">
        <f t="shared" si="13"/>
        <v>0</v>
      </c>
      <c r="X126" s="816">
        <f>Table1[[#This Row],[Results
(ton CO2-eq)]]</f>
        <v>0</v>
      </c>
    </row>
    <row r="127" spans="1:25">
      <c r="B127" s="1052" t="s">
        <v>1170</v>
      </c>
      <c r="C127" s="1052" t="s">
        <v>1170</v>
      </c>
      <c r="D127" s="1052" t="s">
        <v>430</v>
      </c>
      <c r="E127" s="653" t="s">
        <v>1151</v>
      </c>
      <c r="F127" s="814">
        <f>IF(E127="Direct",_xlfn.XLOOKUP(D127,'Input import'!B:B,'Input import'!D:D,""),_xlfn.XLOOKUP(D127,'Facilitatory data'!E:E,'Facilitatory data'!G:G,""))</f>
        <v>0</v>
      </c>
      <c r="G127" s="653" t="str">
        <f>IF(E127="Direct",_xlfn.XLOOKUP(D127,'Input import'!B:B,'Input import'!E:E,_xlfn.XLOOKUP(D127,'Input sheet format'!F:F,'Input sheet format'!I:I,"")),_xlfn.XLOOKUP(D127,'Facilitatory data'!E:E,'Facilitatory data'!H:H,""))</f>
        <v>kg</v>
      </c>
      <c r="H127" s="653">
        <v>1</v>
      </c>
      <c r="I127" s="653" t="s">
        <v>96</v>
      </c>
      <c r="J127" s="811">
        <v>1</v>
      </c>
      <c r="K127" s="653" t="s">
        <v>96</v>
      </c>
      <c r="L127" s="653" t="s">
        <v>430</v>
      </c>
      <c r="M127" s="1098" t="s">
        <v>1807</v>
      </c>
      <c r="N127" s="1098" t="s">
        <v>1807</v>
      </c>
      <c r="Q127" s="703">
        <f>'Emission factors - list'!D86</f>
        <v>5.5</v>
      </c>
      <c r="R127" s="653" t="str">
        <f>'Emission factors - list'!E86</f>
        <v>kg CO2-eq / kg</v>
      </c>
      <c r="S127" s="961" t="b">
        <f t="shared" si="11"/>
        <v>1</v>
      </c>
      <c r="T127" s="816">
        <f t="shared" si="12"/>
        <v>0</v>
      </c>
      <c r="U127" s="816">
        <f>Table1[[#This Row],[Results 
(kg CO2-eq)]]/1000</f>
        <v>0</v>
      </c>
      <c r="V127" s="816">
        <f>IF(Table1[[#This Row],[Results incl. comp. (ton CO2-eq2]]&lt;0,Table1[[#This Row],[Results incl. comp. (ton CO2-eq2]],0)</f>
        <v>0</v>
      </c>
      <c r="W127" s="816">
        <f t="shared" si="13"/>
        <v>0</v>
      </c>
      <c r="X127" s="816">
        <f>Table1[[#This Row],[Results
(ton CO2-eq)]]</f>
        <v>0</v>
      </c>
    </row>
    <row r="128" spans="1:25">
      <c r="B128" s="1052" t="s">
        <v>1170</v>
      </c>
      <c r="C128" s="1052" t="s">
        <v>1170</v>
      </c>
      <c r="D128" s="1052" t="s">
        <v>433</v>
      </c>
      <c r="E128" s="653" t="s">
        <v>1151</v>
      </c>
      <c r="F128" s="814">
        <f>IF(E128="Direct",_xlfn.XLOOKUP(D128,'Input import'!B:B,'Input import'!D:D,""),_xlfn.XLOOKUP(D128,'Facilitatory data'!E:E,'Facilitatory data'!G:G,""))</f>
        <v>0</v>
      </c>
      <c r="G128" s="653" t="str">
        <f>IF(E128="Direct",_xlfn.XLOOKUP(D128,'Input import'!B:B,'Input import'!E:E,_xlfn.XLOOKUP(D128,'Input sheet format'!F:F,'Input sheet format'!I:I,"")),_xlfn.XLOOKUP(D128,'Facilitatory data'!E:E,'Facilitatory data'!H:H,""))</f>
        <v>meals</v>
      </c>
      <c r="H128" s="653">
        <v>1</v>
      </c>
      <c r="I128" s="653" t="s">
        <v>434</v>
      </c>
      <c r="J128" s="811">
        <f>'Emission factors - list'!$D$104</f>
        <v>0.2</v>
      </c>
      <c r="K128" s="653" t="s">
        <v>96</v>
      </c>
      <c r="L128" s="653" t="s">
        <v>1680</v>
      </c>
      <c r="M128" s="653" t="s">
        <v>1453</v>
      </c>
      <c r="N128" s="1098" t="s">
        <v>1807</v>
      </c>
      <c r="Q128" s="703">
        <f>'Emission factors - list'!D99</f>
        <v>20.029204</v>
      </c>
      <c r="R128" s="653" t="str">
        <f>'Emission factors - list'!E99</f>
        <v>kg CO2-eq / kg</v>
      </c>
      <c r="S128" s="961" t="b">
        <f t="shared" si="11"/>
        <v>1</v>
      </c>
      <c r="T128" s="816">
        <f t="shared" si="12"/>
        <v>0</v>
      </c>
      <c r="U128" s="816">
        <f>Table1[[#This Row],[Results 
(kg CO2-eq)]]/1000</f>
        <v>0</v>
      </c>
      <c r="V128" s="816">
        <f>IF(Table1[[#This Row],[Results incl. comp. (ton CO2-eq2]]&lt;0,Table1[[#This Row],[Results incl. comp. (ton CO2-eq2]],0)</f>
        <v>0</v>
      </c>
      <c r="W128" s="816">
        <f t="shared" si="13"/>
        <v>0</v>
      </c>
      <c r="X128" s="816">
        <f>Table1[[#This Row],[Results
(ton CO2-eq)]]</f>
        <v>0</v>
      </c>
    </row>
    <row r="129" spans="2:24">
      <c r="B129" s="1052" t="s">
        <v>1170</v>
      </c>
      <c r="C129" s="1052" t="s">
        <v>1170</v>
      </c>
      <c r="D129" s="1052" t="s">
        <v>436</v>
      </c>
      <c r="E129" s="653" t="s">
        <v>1151</v>
      </c>
      <c r="F129" s="814">
        <f>IF(E129="Direct",_xlfn.XLOOKUP(D129,'Input import'!B:B,'Input import'!D:D,""),_xlfn.XLOOKUP(D129,'Facilitatory data'!E:E,'Facilitatory data'!G:G,""))</f>
        <v>0</v>
      </c>
      <c r="G129" s="653" t="str">
        <f>IF(E129="Direct",_xlfn.XLOOKUP(D129,'Input import'!B:B,'Input import'!E:E,_xlfn.XLOOKUP(D129,'Input sheet format'!F:F,'Input sheet format'!I:I,"")),_xlfn.XLOOKUP(D129,'Facilitatory data'!E:E,'Facilitatory data'!H:H,""))</f>
        <v>meals</v>
      </c>
      <c r="H129" s="653">
        <v>1</v>
      </c>
      <c r="I129" s="653" t="s">
        <v>434</v>
      </c>
      <c r="J129" s="811">
        <f>'Emission factors - list'!$D$104</f>
        <v>0.2</v>
      </c>
      <c r="K129" s="653" t="s">
        <v>96</v>
      </c>
      <c r="L129" s="653" t="s">
        <v>1680</v>
      </c>
      <c r="M129" s="653" t="s">
        <v>1454</v>
      </c>
      <c r="N129" s="1098" t="s">
        <v>1807</v>
      </c>
      <c r="Q129" s="703">
        <f>'Emission factors - list'!D100</f>
        <v>7.4792039999999975</v>
      </c>
      <c r="R129" s="653" t="str">
        <f>'Emission factors - list'!E100</f>
        <v>kg CO2-eq / kg</v>
      </c>
      <c r="S129" s="961" t="b">
        <f t="shared" si="11"/>
        <v>1</v>
      </c>
      <c r="T129" s="816">
        <f t="shared" si="12"/>
        <v>0</v>
      </c>
      <c r="U129" s="816">
        <f>Table1[[#This Row],[Results 
(kg CO2-eq)]]/1000</f>
        <v>0</v>
      </c>
      <c r="V129" s="816">
        <f>IF(Table1[[#This Row],[Results incl. comp. (ton CO2-eq2]]&lt;0,Table1[[#This Row],[Results incl. comp. (ton CO2-eq2]],0)</f>
        <v>0</v>
      </c>
      <c r="W129" s="816">
        <f t="shared" si="13"/>
        <v>0</v>
      </c>
      <c r="X129" s="816">
        <f>Table1[[#This Row],[Results
(ton CO2-eq)]]</f>
        <v>0</v>
      </c>
    </row>
    <row r="130" spans="2:24">
      <c r="B130" s="1052" t="s">
        <v>1170</v>
      </c>
      <c r="C130" s="1052" t="s">
        <v>1170</v>
      </c>
      <c r="D130" s="1052" t="s">
        <v>438</v>
      </c>
      <c r="E130" s="653" t="s">
        <v>1151</v>
      </c>
      <c r="F130" s="814">
        <f>IF(E130="Direct",_xlfn.XLOOKUP(D130,'Input import'!B:B,'Input import'!D:D,""),_xlfn.XLOOKUP(D130,'Facilitatory data'!E:E,'Facilitatory data'!G:G,""))</f>
        <v>0</v>
      </c>
      <c r="G130" s="653" t="str">
        <f>IF(E130="Direct",_xlfn.XLOOKUP(D130,'Input import'!B:B,'Input import'!E:E,_xlfn.XLOOKUP(D130,'Input sheet format'!F:F,'Input sheet format'!I:I,"")),_xlfn.XLOOKUP(D130,'Facilitatory data'!E:E,'Facilitatory data'!H:H,""))</f>
        <v>meals</v>
      </c>
      <c r="H130" s="653">
        <v>1</v>
      </c>
      <c r="I130" s="653" t="s">
        <v>434</v>
      </c>
      <c r="J130" s="811">
        <f>'Emission factors - list'!$D$104</f>
        <v>0.2</v>
      </c>
      <c r="K130" s="653" t="s">
        <v>96</v>
      </c>
      <c r="L130" s="653" t="s">
        <v>1680</v>
      </c>
      <c r="M130" s="653" t="s">
        <v>1455</v>
      </c>
      <c r="N130" s="1098" t="s">
        <v>1807</v>
      </c>
      <c r="Q130" s="703">
        <f>'Emission factors - list'!D101</f>
        <v>3.006704</v>
      </c>
      <c r="R130" s="653" t="str">
        <f>'Emission factors - list'!E101</f>
        <v>kg CO2-eq / kg</v>
      </c>
      <c r="S130" s="961" t="b">
        <f t="shared" si="11"/>
        <v>1</v>
      </c>
      <c r="T130" s="816">
        <f t="shared" si="12"/>
        <v>0</v>
      </c>
      <c r="U130" s="816">
        <f>Table1[[#This Row],[Results 
(kg CO2-eq)]]/1000</f>
        <v>0</v>
      </c>
      <c r="V130" s="816">
        <f>IF(Table1[[#This Row],[Results incl. comp. (ton CO2-eq2]]&lt;0,Table1[[#This Row],[Results incl. comp. (ton CO2-eq2]],0)</f>
        <v>0</v>
      </c>
      <c r="W130" s="816">
        <f t="shared" si="13"/>
        <v>0</v>
      </c>
      <c r="X130" s="816">
        <f>Table1[[#This Row],[Results
(ton CO2-eq)]]</f>
        <v>0</v>
      </c>
    </row>
    <row r="131" spans="2:24">
      <c r="B131" s="1052" t="s">
        <v>1170</v>
      </c>
      <c r="C131" s="1052" t="s">
        <v>1170</v>
      </c>
      <c r="D131" s="1052" t="s">
        <v>440</v>
      </c>
      <c r="E131" s="653" t="s">
        <v>1151</v>
      </c>
      <c r="F131" s="814">
        <f>IF(E131="Direct",_xlfn.XLOOKUP(D131,'Input import'!B:B,'Input import'!D:D,""),_xlfn.XLOOKUP(D131,'Facilitatory data'!E:E,'Facilitatory data'!G:G,""))</f>
        <v>0</v>
      </c>
      <c r="G131" s="653" t="str">
        <f>IF(E131="Direct",_xlfn.XLOOKUP(D131,'Input import'!B:B,'Input import'!E:E,_xlfn.XLOOKUP(D131,'Input sheet format'!F:F,'Input sheet format'!I:I,"")),_xlfn.XLOOKUP(D131,'Facilitatory data'!E:E,'Facilitatory data'!H:H,""))</f>
        <v>meals</v>
      </c>
      <c r="H131" s="653">
        <v>1</v>
      </c>
      <c r="I131" s="653" t="s">
        <v>434</v>
      </c>
      <c r="J131" s="811">
        <f>'Emission factors - list'!$D$104</f>
        <v>0.2</v>
      </c>
      <c r="K131" s="653" t="s">
        <v>96</v>
      </c>
      <c r="L131" s="653" t="s">
        <v>1680</v>
      </c>
      <c r="M131" s="653" t="s">
        <v>1456</v>
      </c>
      <c r="N131" s="1098" t="s">
        <v>1807</v>
      </c>
      <c r="Q131" s="703">
        <f>'Emission factors - list'!D102</f>
        <v>1.6885691175105002</v>
      </c>
      <c r="R131" s="653" t="str">
        <f>'Emission factors - list'!E102</f>
        <v>kg CO2-eq / kg</v>
      </c>
      <c r="S131" s="961" t="b">
        <f t="shared" si="11"/>
        <v>1</v>
      </c>
      <c r="T131" s="816">
        <f t="shared" si="12"/>
        <v>0</v>
      </c>
      <c r="U131" s="816">
        <f>Table1[[#This Row],[Results 
(kg CO2-eq)]]/1000</f>
        <v>0</v>
      </c>
      <c r="V131" s="816">
        <f>IF(Table1[[#This Row],[Results incl. comp. (ton CO2-eq2]]&lt;0,Table1[[#This Row],[Results incl. comp. (ton CO2-eq2]],0)</f>
        <v>0</v>
      </c>
      <c r="W131" s="816">
        <f t="shared" si="13"/>
        <v>0</v>
      </c>
      <c r="X131" s="816">
        <f>Table1[[#This Row],[Results
(ton CO2-eq)]]</f>
        <v>0</v>
      </c>
    </row>
    <row r="132" spans="2:24">
      <c r="B132" s="1052" t="s">
        <v>1170</v>
      </c>
      <c r="C132" s="1052" t="s">
        <v>1170</v>
      </c>
      <c r="D132" s="1052" t="s">
        <v>442</v>
      </c>
      <c r="E132" s="653" t="s">
        <v>1151</v>
      </c>
      <c r="F132" s="814">
        <f>IF(E132="Direct",_xlfn.XLOOKUP(D132,'Input import'!B:B,'Input import'!D:D,""),_xlfn.XLOOKUP(D132,'Facilitatory data'!E:E,'Facilitatory data'!G:G,""))</f>
        <v>0</v>
      </c>
      <c r="G132" s="653" t="str">
        <f>IF(E132="Direct",_xlfn.XLOOKUP(D132,'Input import'!B:B,'Input import'!E:E,_xlfn.XLOOKUP(D132,'Input sheet format'!F:F,'Input sheet format'!I:I,"")),_xlfn.XLOOKUP(D132,'Facilitatory data'!E:E,'Facilitatory data'!H:H,""))</f>
        <v>meals</v>
      </c>
      <c r="H132" s="653">
        <v>1</v>
      </c>
      <c r="I132" s="653" t="s">
        <v>434</v>
      </c>
      <c r="J132" s="811">
        <f>'Emission factors - list'!$D$104</f>
        <v>0.2</v>
      </c>
      <c r="K132" s="653" t="s">
        <v>96</v>
      </c>
      <c r="L132" s="653" t="s">
        <v>1680</v>
      </c>
      <c r="M132" s="653" t="s">
        <v>1681</v>
      </c>
      <c r="N132" s="1098" t="s">
        <v>1807</v>
      </c>
      <c r="Q132" s="703">
        <f>'Emission factors - list'!D103</f>
        <v>0.80920737180393776</v>
      </c>
      <c r="R132" s="653" t="str">
        <f>'Emission factors - list'!E103</f>
        <v>kg CO2-eq / kg</v>
      </c>
      <c r="S132" s="961" t="b">
        <f t="shared" si="11"/>
        <v>1</v>
      </c>
      <c r="T132" s="816">
        <f t="shared" si="12"/>
        <v>0</v>
      </c>
      <c r="U132" s="816">
        <f>Table1[[#This Row],[Results 
(kg CO2-eq)]]/1000</f>
        <v>0</v>
      </c>
      <c r="V132" s="816">
        <f>IF(Table1[[#This Row],[Results incl. comp. (ton CO2-eq2]]&lt;0,Table1[[#This Row],[Results incl. comp. (ton CO2-eq2]],0)</f>
        <v>0</v>
      </c>
      <c r="W132" s="816">
        <f t="shared" si="13"/>
        <v>0</v>
      </c>
      <c r="X132" s="816">
        <f>Table1[[#This Row],[Results
(ton CO2-eq)]]</f>
        <v>0</v>
      </c>
    </row>
    <row r="133" spans="2:24">
      <c r="B133" s="1052" t="s">
        <v>1171</v>
      </c>
      <c r="C133" s="1052" t="s">
        <v>1171</v>
      </c>
      <c r="D133" s="1052" t="s">
        <v>455</v>
      </c>
      <c r="E133" s="653" t="s">
        <v>1151</v>
      </c>
      <c r="F133" s="814">
        <f>IF(E133="Direct",_xlfn.XLOOKUP(D133,'Input import'!B:B,'Input import'!D:D,""),_xlfn.XLOOKUP(D133,'Facilitatory data'!E:E,'Facilitatory data'!G:G,""))</f>
        <v>0</v>
      </c>
      <c r="G133" s="653" t="str">
        <f>IF(E133="Direct",_xlfn.XLOOKUP(D133,'Input import'!B:B,'Input import'!E:E,_xlfn.XLOOKUP(D133,'Input sheet format'!F:F,'Input sheet format'!I:I,"")),_xlfn.XLOOKUP(D133,'Facilitatory data'!E:E,'Facilitatory data'!H:H,""))</f>
        <v>litres</v>
      </c>
      <c r="H133" s="653">
        <v>1</v>
      </c>
      <c r="I133" s="653" t="s">
        <v>91</v>
      </c>
      <c r="J133" s="811">
        <v>1</v>
      </c>
      <c r="K133" s="653" t="s">
        <v>1153</v>
      </c>
      <c r="L133" s="653" t="s">
        <v>1683</v>
      </c>
      <c r="M133" s="653" t="s">
        <v>1686</v>
      </c>
      <c r="N133" s="1098" t="s">
        <v>1807</v>
      </c>
      <c r="P133" s="1097" t="s">
        <v>1716</v>
      </c>
      <c r="Q133" s="703">
        <f>'Emission factors - list'!D88</f>
        <v>0.58700000000000008</v>
      </c>
      <c r="R133" s="653" t="str">
        <f>'Emission factors - list'!E88</f>
        <v>kg CO2-eq / L</v>
      </c>
      <c r="S133" s="961" t="b">
        <f t="shared" ref="S133:S170" si="15">IFERROR(_xlfn.TEXTAFTER(R133,"/ ")=K133,"")</f>
        <v>1</v>
      </c>
      <c r="T133" s="816">
        <f t="shared" ref="T133:T170" si="16">IFERROR(F133*H133*J133*Q133,"Error")</f>
        <v>0</v>
      </c>
      <c r="U133" s="816">
        <f>Table1[[#This Row],[Results 
(kg CO2-eq)]]/1000</f>
        <v>0</v>
      </c>
      <c r="V133" s="816">
        <f>IF(Table1[[#This Row],[Results incl. comp. (ton CO2-eq2]]&lt;0,Table1[[#This Row],[Results incl. comp. (ton CO2-eq2]],0)</f>
        <v>0</v>
      </c>
      <c r="W133" s="816">
        <f t="shared" ref="W133:W170" si="17">IFERROR(F133*H133*J133*Q133,"Error")</f>
        <v>0</v>
      </c>
      <c r="X133" s="816">
        <f>Table1[[#This Row],[Results
(ton CO2-eq)]]</f>
        <v>0</v>
      </c>
    </row>
    <row r="134" spans="2:24">
      <c r="B134" s="1052" t="s">
        <v>1171</v>
      </c>
      <c r="C134" s="1052" t="s">
        <v>1171</v>
      </c>
      <c r="D134" s="1052" t="s">
        <v>457</v>
      </c>
      <c r="E134" s="653" t="s">
        <v>1151</v>
      </c>
      <c r="F134" s="814">
        <f>IF(E134="Direct",_xlfn.XLOOKUP(D134,'Input import'!B:B,'Input import'!D:D,""),_xlfn.XLOOKUP(D134,'Facilitatory data'!E:E,'Facilitatory data'!G:G,""))</f>
        <v>0</v>
      </c>
      <c r="G134" s="653" t="str">
        <f>IF(E134="Direct",_xlfn.XLOOKUP(D134,'Input import'!B:B,'Input import'!E:E,_xlfn.XLOOKUP(D134,'Input sheet format'!F:F,'Input sheet format'!I:I,"")),_xlfn.XLOOKUP(D134,'Facilitatory data'!E:E,'Facilitatory data'!H:H,""))</f>
        <v>litres</v>
      </c>
      <c r="H134" s="653">
        <v>1</v>
      </c>
      <c r="I134" s="653" t="s">
        <v>91</v>
      </c>
      <c r="J134" s="811">
        <v>1</v>
      </c>
      <c r="K134" s="653" t="s">
        <v>1153</v>
      </c>
      <c r="L134" s="653" t="s">
        <v>1683</v>
      </c>
      <c r="M134" s="653" t="s">
        <v>1676</v>
      </c>
      <c r="N134" s="1098" t="s">
        <v>1807</v>
      </c>
      <c r="Q134" s="703">
        <f>Q133/2</f>
        <v>0.29350000000000004</v>
      </c>
      <c r="R134" s="653" t="s">
        <v>1172</v>
      </c>
      <c r="S134" s="961" t="b">
        <f t="shared" si="15"/>
        <v>1</v>
      </c>
      <c r="T134" s="816">
        <f t="shared" si="16"/>
        <v>0</v>
      </c>
      <c r="U134" s="816">
        <f>Table1[[#This Row],[Results 
(kg CO2-eq)]]/1000</f>
        <v>0</v>
      </c>
      <c r="V134" s="816">
        <f>IF(Table1[[#This Row],[Results incl. comp. (ton CO2-eq2]]&lt;0,Table1[[#This Row],[Results incl. comp. (ton CO2-eq2]],0)</f>
        <v>0</v>
      </c>
      <c r="W134" s="816">
        <f t="shared" si="17"/>
        <v>0</v>
      </c>
      <c r="X134" s="816">
        <f>Table1[[#This Row],[Results
(ton CO2-eq)]]</f>
        <v>0</v>
      </c>
    </row>
    <row r="135" spans="2:24">
      <c r="B135" s="1052" t="s">
        <v>1171</v>
      </c>
      <c r="C135" s="1052" t="s">
        <v>1171</v>
      </c>
      <c r="D135" s="1052" t="s">
        <v>459</v>
      </c>
      <c r="E135" s="653" t="s">
        <v>1151</v>
      </c>
      <c r="F135" s="814">
        <f>IF(E135="Direct",_xlfn.XLOOKUP(D135,'Input import'!B:B,'Input import'!D:D,""),_xlfn.XLOOKUP(D135,'Facilitatory data'!E:E,'Facilitatory data'!G:G,""))</f>
        <v>0</v>
      </c>
      <c r="G135" s="653" t="str">
        <f>IF(E135="Direct",_xlfn.XLOOKUP(D135,'Input import'!B:B,'Input import'!E:E,_xlfn.XLOOKUP(D135,'Input sheet format'!F:F,'Input sheet format'!I:I,"")),_xlfn.XLOOKUP(D135,'Facilitatory data'!E:E,'Facilitatory data'!H:H,""))</f>
        <v>litres</v>
      </c>
      <c r="H135" s="653">
        <v>1</v>
      </c>
      <c r="I135" s="653" t="s">
        <v>91</v>
      </c>
      <c r="J135" s="811">
        <v>1</v>
      </c>
      <c r="K135" s="653" t="s">
        <v>1153</v>
      </c>
      <c r="L135" s="653" t="s">
        <v>1683</v>
      </c>
      <c r="M135" s="653" t="s">
        <v>1682</v>
      </c>
      <c r="N135" s="1098" t="s">
        <v>1807</v>
      </c>
      <c r="Q135" s="703">
        <v>0</v>
      </c>
      <c r="R135" s="653" t="s">
        <v>1172</v>
      </c>
      <c r="S135" s="961" t="b">
        <f t="shared" si="15"/>
        <v>1</v>
      </c>
      <c r="T135" s="816">
        <f t="shared" si="16"/>
        <v>0</v>
      </c>
      <c r="U135" s="816">
        <f>Table1[[#This Row],[Results 
(kg CO2-eq)]]/1000</f>
        <v>0</v>
      </c>
      <c r="V135" s="816">
        <f>IF(Table1[[#This Row],[Results incl. comp. (ton CO2-eq2]]&lt;0,Table1[[#This Row],[Results incl. comp. (ton CO2-eq2]],0)</f>
        <v>0</v>
      </c>
      <c r="W135" s="816">
        <f t="shared" si="17"/>
        <v>0</v>
      </c>
      <c r="X135" s="816">
        <f>Table1[[#This Row],[Results
(ton CO2-eq)]]</f>
        <v>0</v>
      </c>
    </row>
    <row r="136" spans="2:24">
      <c r="B136" s="1052" t="s">
        <v>1171</v>
      </c>
      <c r="C136" s="1052" t="s">
        <v>1171</v>
      </c>
      <c r="D136" s="1052" t="s">
        <v>461</v>
      </c>
      <c r="E136" s="653" t="s">
        <v>1151</v>
      </c>
      <c r="F136" s="814">
        <f>IF(E136="Direct",_xlfn.XLOOKUP(D136,'Input import'!B:B,'Input import'!D:D,""),_xlfn.XLOOKUP(D136,'Facilitatory data'!E:E,'Facilitatory data'!G:G,""))</f>
        <v>0</v>
      </c>
      <c r="G136" s="653" t="str">
        <f>IF(E136="Direct",_xlfn.XLOOKUP(D136,'Input import'!B:B,'Input import'!E:E,_xlfn.XLOOKUP(D136,'Input sheet format'!F:F,'Input sheet format'!I:I,"")),_xlfn.XLOOKUP(D136,'Facilitatory data'!E:E,'Facilitatory data'!H:H,""))</f>
        <v>litres</v>
      </c>
      <c r="H136" s="653">
        <v>1</v>
      </c>
      <c r="I136" s="653" t="s">
        <v>91</v>
      </c>
      <c r="J136" s="811">
        <v>1</v>
      </c>
      <c r="K136" s="653" t="s">
        <v>1153</v>
      </c>
      <c r="L136" s="653" t="s">
        <v>1329</v>
      </c>
      <c r="M136" s="653" t="s">
        <v>1686</v>
      </c>
      <c r="N136" s="1098" t="s">
        <v>1807</v>
      </c>
      <c r="Q136" s="703">
        <f>'Emission factors - list'!D89</f>
        <v>0.58700000000000008</v>
      </c>
      <c r="R136" s="653" t="str">
        <f>'Emission factors - list'!E89</f>
        <v>kg CO2-eq / L</v>
      </c>
      <c r="S136" s="961" t="b">
        <f t="shared" si="15"/>
        <v>1</v>
      </c>
      <c r="T136" s="816">
        <f t="shared" si="16"/>
        <v>0</v>
      </c>
      <c r="U136" s="816">
        <f>Table1[[#This Row],[Results 
(kg CO2-eq)]]/1000</f>
        <v>0</v>
      </c>
      <c r="V136" s="816">
        <f>IF(Table1[[#This Row],[Results incl. comp. (ton CO2-eq2]]&lt;0,Table1[[#This Row],[Results incl. comp. (ton CO2-eq2]],0)</f>
        <v>0</v>
      </c>
      <c r="W136" s="816">
        <f t="shared" si="17"/>
        <v>0</v>
      </c>
      <c r="X136" s="816">
        <f>Table1[[#This Row],[Results
(ton CO2-eq)]]</f>
        <v>0</v>
      </c>
    </row>
    <row r="137" spans="2:24">
      <c r="B137" s="1052" t="s">
        <v>1171</v>
      </c>
      <c r="C137" s="1052" t="s">
        <v>1171</v>
      </c>
      <c r="D137" s="1052" t="s">
        <v>463</v>
      </c>
      <c r="E137" s="653" t="s">
        <v>1151</v>
      </c>
      <c r="F137" s="814">
        <f>IF(E137="Direct",_xlfn.XLOOKUP(D137,'Input import'!B:B,'Input import'!D:D,""),_xlfn.XLOOKUP(D137,'Facilitatory data'!E:E,'Facilitatory data'!G:G,""))</f>
        <v>0</v>
      </c>
      <c r="G137" s="653" t="str">
        <f>IF(E137="Direct",_xlfn.XLOOKUP(D137,'Input import'!B:B,'Input import'!E:E,_xlfn.XLOOKUP(D137,'Input sheet format'!F:F,'Input sheet format'!I:I,"")),_xlfn.XLOOKUP(D137,'Facilitatory data'!E:E,'Facilitatory data'!H:H,""))</f>
        <v>litres</v>
      </c>
      <c r="H137" s="653">
        <v>1</v>
      </c>
      <c r="I137" s="653" t="s">
        <v>91</v>
      </c>
      <c r="J137" s="811">
        <v>1</v>
      </c>
      <c r="K137" s="653" t="s">
        <v>1153</v>
      </c>
      <c r="L137" s="653" t="s">
        <v>1329</v>
      </c>
      <c r="M137" s="653" t="s">
        <v>1676</v>
      </c>
      <c r="N137" s="1098" t="s">
        <v>1807</v>
      </c>
      <c r="Q137" s="703">
        <f>Q136/2</f>
        <v>0.29350000000000004</v>
      </c>
      <c r="R137" s="653" t="str">
        <f>'Emission factors - list'!E92</f>
        <v>kg CO2-eq / L</v>
      </c>
      <c r="S137" s="961" t="b">
        <f t="shared" si="15"/>
        <v>1</v>
      </c>
      <c r="T137" s="816">
        <f t="shared" si="16"/>
        <v>0</v>
      </c>
      <c r="U137" s="816">
        <f>Table1[[#This Row],[Results 
(kg CO2-eq)]]/1000</f>
        <v>0</v>
      </c>
      <c r="V137" s="816">
        <f>IF(Table1[[#This Row],[Results incl. comp. (ton CO2-eq2]]&lt;0,Table1[[#This Row],[Results incl. comp. (ton CO2-eq2]],0)</f>
        <v>0</v>
      </c>
      <c r="W137" s="816">
        <f t="shared" si="17"/>
        <v>0</v>
      </c>
      <c r="X137" s="816">
        <f>Table1[[#This Row],[Results
(ton CO2-eq)]]</f>
        <v>0</v>
      </c>
    </row>
    <row r="138" spans="2:24">
      <c r="B138" s="1052" t="s">
        <v>1171</v>
      </c>
      <c r="C138" s="1052" t="s">
        <v>1171</v>
      </c>
      <c r="D138" s="1052" t="s">
        <v>465</v>
      </c>
      <c r="E138" s="653" t="s">
        <v>1151</v>
      </c>
      <c r="F138" s="814">
        <f>IF(E138="Direct",_xlfn.XLOOKUP(D138,'Input import'!B:B,'Input import'!D:D,""),_xlfn.XLOOKUP(D138,'Facilitatory data'!E:E,'Facilitatory data'!G:G,""))</f>
        <v>0</v>
      </c>
      <c r="G138" s="653" t="str">
        <f>IF(E138="Direct",_xlfn.XLOOKUP(D138,'Input import'!B:B,'Input import'!E:E,_xlfn.XLOOKUP(D138,'Input sheet format'!F:F,'Input sheet format'!I:I,"")),_xlfn.XLOOKUP(D138,'Facilitatory data'!E:E,'Facilitatory data'!H:H,""))</f>
        <v>litres</v>
      </c>
      <c r="H138" s="653">
        <v>1</v>
      </c>
      <c r="I138" s="653" t="s">
        <v>91</v>
      </c>
      <c r="J138" s="811">
        <v>1</v>
      </c>
      <c r="K138" s="653" t="s">
        <v>1153</v>
      </c>
      <c r="L138" s="653" t="s">
        <v>1329</v>
      </c>
      <c r="M138" s="653" t="s">
        <v>1682</v>
      </c>
      <c r="N138" s="1098" t="s">
        <v>1807</v>
      </c>
      <c r="Q138" s="703">
        <v>0</v>
      </c>
      <c r="R138" s="653" t="str">
        <f>'Emission factors - list'!E93</f>
        <v>kg CO2-eq / L</v>
      </c>
      <c r="S138" s="961" t="b">
        <f t="shared" si="15"/>
        <v>1</v>
      </c>
      <c r="T138" s="816">
        <f t="shared" si="16"/>
        <v>0</v>
      </c>
      <c r="U138" s="816">
        <f>Table1[[#This Row],[Results 
(kg CO2-eq)]]/1000</f>
        <v>0</v>
      </c>
      <c r="V138" s="816">
        <f>IF(Table1[[#This Row],[Results incl. comp. (ton CO2-eq2]]&lt;0,Table1[[#This Row],[Results incl. comp. (ton CO2-eq2]],0)</f>
        <v>0</v>
      </c>
      <c r="W138" s="816">
        <f t="shared" si="17"/>
        <v>0</v>
      </c>
      <c r="X138" s="816">
        <f>Table1[[#This Row],[Results
(ton CO2-eq)]]</f>
        <v>0</v>
      </c>
    </row>
    <row r="139" spans="2:24">
      <c r="B139" s="1052" t="s">
        <v>1171</v>
      </c>
      <c r="C139" s="1052" t="s">
        <v>1171</v>
      </c>
      <c r="D139" s="1052" t="s">
        <v>467</v>
      </c>
      <c r="E139" s="653" t="s">
        <v>1151</v>
      </c>
      <c r="F139" s="814">
        <f>IF(E139="Direct",_xlfn.XLOOKUP(D139,'Input import'!B:B,'Input import'!D:D,""),_xlfn.XLOOKUP(D139,'Facilitatory data'!E:E,'Facilitatory data'!G:G,""))</f>
        <v>0</v>
      </c>
      <c r="G139" s="653" t="str">
        <f>IF(E139="Direct",_xlfn.XLOOKUP(D139,'Input import'!B:B,'Input import'!E:E,_xlfn.XLOOKUP(D139,'Input sheet format'!F:F,'Input sheet format'!I:I,"")),_xlfn.XLOOKUP(D139,'Facilitatory data'!E:E,'Facilitatory data'!H:H,""))</f>
        <v>litres</v>
      </c>
      <c r="H139" s="653">
        <v>1</v>
      </c>
      <c r="I139" s="653" t="s">
        <v>91</v>
      </c>
      <c r="J139" s="811">
        <v>1</v>
      </c>
      <c r="K139" s="653" t="s">
        <v>1153</v>
      </c>
      <c r="L139" s="653" t="s">
        <v>1343</v>
      </c>
      <c r="M139" s="653" t="s">
        <v>1686</v>
      </c>
      <c r="N139" s="1098" t="s">
        <v>1807</v>
      </c>
      <c r="Q139" s="703">
        <f>'Emission factors - list'!D95</f>
        <v>0.93258136000000003</v>
      </c>
      <c r="R139" s="653" t="str">
        <f>'Emission factors - list'!E94</f>
        <v>kg CO2-eq / L</v>
      </c>
      <c r="S139" s="961" t="b">
        <f t="shared" si="15"/>
        <v>1</v>
      </c>
      <c r="T139" s="816">
        <f t="shared" si="16"/>
        <v>0</v>
      </c>
      <c r="U139" s="816">
        <f>Table1[[#This Row],[Results 
(kg CO2-eq)]]/1000</f>
        <v>0</v>
      </c>
      <c r="V139" s="816">
        <f>IF(Table1[[#This Row],[Results incl. comp. (ton CO2-eq2]]&lt;0,Table1[[#This Row],[Results incl. comp. (ton CO2-eq2]],0)</f>
        <v>0</v>
      </c>
      <c r="W139" s="816">
        <f t="shared" si="17"/>
        <v>0</v>
      </c>
      <c r="X139" s="816">
        <f>Table1[[#This Row],[Results
(ton CO2-eq)]]</f>
        <v>0</v>
      </c>
    </row>
    <row r="140" spans="2:24">
      <c r="B140" s="1052" t="s">
        <v>1171</v>
      </c>
      <c r="C140" s="1052" t="s">
        <v>1171</v>
      </c>
      <c r="D140" s="1052" t="s">
        <v>469</v>
      </c>
      <c r="E140" s="653" t="s">
        <v>1151</v>
      </c>
      <c r="F140" s="814">
        <f>IF(E140="Direct",_xlfn.XLOOKUP(D140,'Input import'!B:B,'Input import'!D:D,""),_xlfn.XLOOKUP(D140,'Facilitatory data'!E:E,'Facilitatory data'!G:G,""))</f>
        <v>0</v>
      </c>
      <c r="G140" s="653" t="str">
        <f>IF(E140="Direct",_xlfn.XLOOKUP(D140,'Input import'!B:B,'Input import'!E:E,_xlfn.XLOOKUP(D140,'Input sheet format'!F:F,'Input sheet format'!I:I,"")),_xlfn.XLOOKUP(D140,'Facilitatory data'!E:E,'Facilitatory data'!H:H,""))</f>
        <v>litres</v>
      </c>
      <c r="H140" s="653">
        <v>1</v>
      </c>
      <c r="I140" s="653" t="s">
        <v>91</v>
      </c>
      <c r="J140" s="811">
        <v>1</v>
      </c>
      <c r="K140" s="653" t="s">
        <v>1153</v>
      </c>
      <c r="L140" s="653" t="s">
        <v>1343</v>
      </c>
      <c r="M140" s="653" t="s">
        <v>1676</v>
      </c>
      <c r="N140" s="1098" t="s">
        <v>1807</v>
      </c>
      <c r="Q140" s="703">
        <f>Q139/2</f>
        <v>0.46629068000000001</v>
      </c>
      <c r="R140" s="653" t="str">
        <f>'Emission factors - list'!E96</f>
        <v>kg CO2-eq / L</v>
      </c>
      <c r="S140" s="961" t="b">
        <f t="shared" si="15"/>
        <v>1</v>
      </c>
      <c r="T140" s="816">
        <f t="shared" si="16"/>
        <v>0</v>
      </c>
      <c r="U140" s="816">
        <f>Table1[[#This Row],[Results 
(kg CO2-eq)]]/1000</f>
        <v>0</v>
      </c>
      <c r="V140" s="816">
        <f>IF(Table1[[#This Row],[Results incl. comp. (ton CO2-eq2]]&lt;0,Table1[[#This Row],[Results incl. comp. (ton CO2-eq2]],0)</f>
        <v>0</v>
      </c>
      <c r="W140" s="816">
        <f t="shared" si="17"/>
        <v>0</v>
      </c>
      <c r="X140" s="816">
        <f>Table1[[#This Row],[Results
(ton CO2-eq)]]</f>
        <v>0</v>
      </c>
    </row>
    <row r="141" spans="2:24">
      <c r="B141" s="1052" t="s">
        <v>1171</v>
      </c>
      <c r="C141" s="1052" t="s">
        <v>1171</v>
      </c>
      <c r="D141" s="1052" t="s">
        <v>471</v>
      </c>
      <c r="E141" s="653" t="s">
        <v>1151</v>
      </c>
      <c r="F141" s="814">
        <f>IF(E141="Direct",_xlfn.XLOOKUP(D141,'Input import'!B:B,'Input import'!D:D,""),_xlfn.XLOOKUP(D141,'Facilitatory data'!E:E,'Facilitatory data'!G:G,""))</f>
        <v>0</v>
      </c>
      <c r="G141" s="653" t="str">
        <f>IF(E141="Direct",_xlfn.XLOOKUP(D141,'Input import'!B:B,'Input import'!E:E,_xlfn.XLOOKUP(D141,'Input sheet format'!F:F,'Input sheet format'!I:I,"")),_xlfn.XLOOKUP(D141,'Facilitatory data'!E:E,'Facilitatory data'!H:H,""))</f>
        <v>litres</v>
      </c>
      <c r="H141" s="653">
        <v>1</v>
      </c>
      <c r="I141" s="653" t="s">
        <v>91</v>
      </c>
      <c r="J141" s="811">
        <v>1</v>
      </c>
      <c r="K141" s="653" t="s">
        <v>1153</v>
      </c>
      <c r="L141" s="653" t="s">
        <v>1343</v>
      </c>
      <c r="M141" s="653" t="s">
        <v>1682</v>
      </c>
      <c r="N141" s="1098" t="s">
        <v>1807</v>
      </c>
      <c r="Q141" s="703">
        <v>0</v>
      </c>
      <c r="R141" s="653" t="str">
        <f>'Emission factors - list'!E97</f>
        <v>kg CO2-eq / L</v>
      </c>
      <c r="S141" s="961" t="b">
        <f t="shared" si="15"/>
        <v>1</v>
      </c>
      <c r="T141" s="816">
        <f t="shared" si="16"/>
        <v>0</v>
      </c>
      <c r="U141" s="816">
        <f>Table1[[#This Row],[Results 
(kg CO2-eq)]]/1000</f>
        <v>0</v>
      </c>
      <c r="V141" s="816">
        <f>IF(Table1[[#This Row],[Results incl. comp. (ton CO2-eq2]]&lt;0,Table1[[#This Row],[Results incl. comp. (ton CO2-eq2]],0)</f>
        <v>0</v>
      </c>
      <c r="W141" s="816">
        <f t="shared" si="17"/>
        <v>0</v>
      </c>
      <c r="X141" s="816">
        <f>Table1[[#This Row],[Results
(ton CO2-eq)]]</f>
        <v>0</v>
      </c>
    </row>
    <row r="142" spans="2:24">
      <c r="B142" s="1052" t="s">
        <v>1171</v>
      </c>
      <c r="C142" s="1052" t="s">
        <v>1171</v>
      </c>
      <c r="D142" s="1052" t="s">
        <v>473</v>
      </c>
      <c r="E142" s="653" t="s">
        <v>1151</v>
      </c>
      <c r="F142" s="814">
        <f>IF(E142="Direct",_xlfn.XLOOKUP(D142,'Input import'!B:B,'Input import'!D:D,""),_xlfn.XLOOKUP(D142,'Facilitatory data'!E:E,'Facilitatory data'!G:G,""))</f>
        <v>0</v>
      </c>
      <c r="G142" s="653" t="str">
        <f>IF(E142="Direct",_xlfn.XLOOKUP(D142,'Input import'!B:B,'Input import'!E:E,_xlfn.XLOOKUP(D142,'Input sheet format'!F:F,'Input sheet format'!I:I,"")),_xlfn.XLOOKUP(D142,'Facilitatory data'!E:E,'Facilitatory data'!H:H,""))</f>
        <v>litres</v>
      </c>
      <c r="H142" s="653">
        <v>1</v>
      </c>
      <c r="I142" s="653" t="s">
        <v>91</v>
      </c>
      <c r="J142" s="811">
        <v>1</v>
      </c>
      <c r="K142" s="653" t="s">
        <v>1153</v>
      </c>
      <c r="L142" s="653" t="s">
        <v>1684</v>
      </c>
      <c r="M142" s="653" t="s">
        <v>1686</v>
      </c>
      <c r="N142" s="1098" t="s">
        <v>1807</v>
      </c>
      <c r="Q142" s="703">
        <f>'Emission factors - list'!D92</f>
        <v>0.38666666666666666</v>
      </c>
      <c r="R142" s="653" t="str">
        <f>'Emission factors - list'!E92</f>
        <v>kg CO2-eq / L</v>
      </c>
      <c r="S142" s="961" t="b">
        <f t="shared" si="15"/>
        <v>1</v>
      </c>
      <c r="T142" s="816">
        <f t="shared" si="16"/>
        <v>0</v>
      </c>
      <c r="U142" s="816">
        <f>Table1[[#This Row],[Results 
(kg CO2-eq)]]/1000</f>
        <v>0</v>
      </c>
      <c r="V142" s="816">
        <f>IF(Table1[[#This Row],[Results incl. comp. (ton CO2-eq2]]&lt;0,Table1[[#This Row],[Results incl. comp. (ton CO2-eq2]],0)</f>
        <v>0</v>
      </c>
      <c r="W142" s="816">
        <f t="shared" si="17"/>
        <v>0</v>
      </c>
      <c r="X142" s="816">
        <f>Table1[[#This Row],[Results
(ton CO2-eq)]]</f>
        <v>0</v>
      </c>
    </row>
    <row r="143" spans="2:24">
      <c r="B143" s="1052" t="s">
        <v>1171</v>
      </c>
      <c r="C143" s="1052" t="s">
        <v>1171</v>
      </c>
      <c r="D143" s="1052" t="s">
        <v>475</v>
      </c>
      <c r="E143" s="653" t="s">
        <v>1151</v>
      </c>
      <c r="F143" s="814">
        <f>IF(E143="Direct",_xlfn.XLOOKUP(D143,'Input import'!B:B,'Input import'!D:D,""),_xlfn.XLOOKUP(D143,'Facilitatory data'!E:E,'Facilitatory data'!G:G,""))</f>
        <v>0</v>
      </c>
      <c r="G143" s="653" t="str">
        <f>IF(E143="Direct",_xlfn.XLOOKUP(D143,'Input import'!B:B,'Input import'!E:E,_xlfn.XLOOKUP(D143,'Input sheet format'!F:F,'Input sheet format'!I:I,"")),_xlfn.XLOOKUP(D143,'Facilitatory data'!E:E,'Facilitatory data'!H:H,""))</f>
        <v>litres</v>
      </c>
      <c r="H143" s="653">
        <v>1</v>
      </c>
      <c r="I143" s="653" t="s">
        <v>91</v>
      </c>
      <c r="J143" s="811">
        <v>1</v>
      </c>
      <c r="K143" s="653" t="s">
        <v>1153</v>
      </c>
      <c r="L143" s="653" t="s">
        <v>1684</v>
      </c>
      <c r="M143" s="653" t="s">
        <v>1676</v>
      </c>
      <c r="N143" s="1098" t="s">
        <v>1807</v>
      </c>
      <c r="Q143" s="703">
        <f>Q142/2</f>
        <v>0.19333333333333333</v>
      </c>
      <c r="R143" s="653" t="str">
        <f>'Emission factors - list'!E93</f>
        <v>kg CO2-eq / L</v>
      </c>
      <c r="S143" s="961" t="b">
        <f t="shared" si="15"/>
        <v>1</v>
      </c>
      <c r="T143" s="816">
        <f t="shared" si="16"/>
        <v>0</v>
      </c>
      <c r="U143" s="816">
        <f>Table1[[#This Row],[Results 
(kg CO2-eq)]]/1000</f>
        <v>0</v>
      </c>
      <c r="V143" s="816">
        <f>IF(Table1[[#This Row],[Results incl. comp. (ton CO2-eq2]]&lt;0,Table1[[#This Row],[Results incl. comp. (ton CO2-eq2]],0)</f>
        <v>0</v>
      </c>
      <c r="W143" s="816">
        <f t="shared" si="17"/>
        <v>0</v>
      </c>
      <c r="X143" s="816">
        <f>Table1[[#This Row],[Results
(ton CO2-eq)]]</f>
        <v>0</v>
      </c>
    </row>
    <row r="144" spans="2:24">
      <c r="B144" s="1052" t="s">
        <v>1171</v>
      </c>
      <c r="C144" s="1052" t="s">
        <v>1171</v>
      </c>
      <c r="D144" s="1052" t="s">
        <v>477</v>
      </c>
      <c r="E144" s="653" t="s">
        <v>1151</v>
      </c>
      <c r="F144" s="814">
        <f>IF(E144="Direct",_xlfn.XLOOKUP(D144,'Input import'!B:B,'Input import'!D:D,""),_xlfn.XLOOKUP(D144,'Facilitatory data'!E:E,'Facilitatory data'!G:G,""))</f>
        <v>0</v>
      </c>
      <c r="G144" s="653" t="str">
        <f>IF(E144="Direct",_xlfn.XLOOKUP(D144,'Input import'!B:B,'Input import'!E:E,_xlfn.XLOOKUP(D144,'Input sheet format'!F:F,'Input sheet format'!I:I,"")),_xlfn.XLOOKUP(D144,'Facilitatory data'!E:E,'Facilitatory data'!H:H,""))</f>
        <v>litres</v>
      </c>
      <c r="H144" s="653">
        <v>1</v>
      </c>
      <c r="I144" s="653" t="s">
        <v>91</v>
      </c>
      <c r="J144" s="811">
        <v>1</v>
      </c>
      <c r="K144" s="653" t="s">
        <v>1153</v>
      </c>
      <c r="L144" s="653" t="s">
        <v>1684</v>
      </c>
      <c r="M144" s="653" t="s">
        <v>1682</v>
      </c>
      <c r="N144" s="1098" t="s">
        <v>1807</v>
      </c>
      <c r="Q144" s="703">
        <v>0</v>
      </c>
      <c r="R144" s="653" t="str">
        <f>'Emission factors - list'!E94</f>
        <v>kg CO2-eq / L</v>
      </c>
      <c r="S144" s="961" t="b">
        <f t="shared" si="15"/>
        <v>1</v>
      </c>
      <c r="T144" s="816">
        <f t="shared" si="16"/>
        <v>0</v>
      </c>
      <c r="U144" s="816">
        <f>Table1[[#This Row],[Results 
(kg CO2-eq)]]/1000</f>
        <v>0</v>
      </c>
      <c r="V144" s="816">
        <f>IF(Table1[[#This Row],[Results incl. comp. (ton CO2-eq2]]&lt;0,Table1[[#This Row],[Results incl. comp. (ton CO2-eq2]],0)</f>
        <v>0</v>
      </c>
      <c r="W144" s="816">
        <f t="shared" si="17"/>
        <v>0</v>
      </c>
      <c r="X144" s="816">
        <f>Table1[[#This Row],[Results
(ton CO2-eq)]]</f>
        <v>0</v>
      </c>
    </row>
    <row r="145" spans="2:24">
      <c r="B145" s="1052" t="s">
        <v>1171</v>
      </c>
      <c r="C145" s="1052" t="s">
        <v>1171</v>
      </c>
      <c r="D145" s="1052" t="s">
        <v>479</v>
      </c>
      <c r="E145" s="653" t="s">
        <v>1151</v>
      </c>
      <c r="F145" s="814">
        <f>IF(E145="Direct",_xlfn.XLOOKUP(D145,'Input import'!B:B,'Input import'!D:D,""),_xlfn.XLOOKUP(D145,'Facilitatory data'!E:E,'Facilitatory data'!G:G,""))</f>
        <v>0</v>
      </c>
      <c r="G145" s="653" t="str">
        <f>IF(E145="Direct",_xlfn.XLOOKUP(D145,'Input import'!B:B,'Input import'!E:E,_xlfn.XLOOKUP(D145,'Input sheet format'!F:F,'Input sheet format'!I:I,"")),_xlfn.XLOOKUP(D145,'Facilitatory data'!E:E,'Facilitatory data'!H:H,""))</f>
        <v>litres</v>
      </c>
      <c r="H145" s="653">
        <v>1</v>
      </c>
      <c r="I145" s="653" t="s">
        <v>91</v>
      </c>
      <c r="J145" s="811">
        <v>1</v>
      </c>
      <c r="K145" s="653" t="s">
        <v>1153</v>
      </c>
      <c r="L145" s="653" t="s">
        <v>1446</v>
      </c>
      <c r="M145" s="653" t="s">
        <v>1686</v>
      </c>
      <c r="N145" s="1098" t="s">
        <v>1807</v>
      </c>
      <c r="Q145" s="703">
        <f>'Emission factors - list'!D92</f>
        <v>0.38666666666666666</v>
      </c>
      <c r="R145" s="653" t="str">
        <f>'Emission factors - list'!E92</f>
        <v>kg CO2-eq / L</v>
      </c>
      <c r="S145" s="961" t="b">
        <f t="shared" si="15"/>
        <v>1</v>
      </c>
      <c r="T145" s="816">
        <f t="shared" si="16"/>
        <v>0</v>
      </c>
      <c r="U145" s="816">
        <f>Table1[[#This Row],[Results 
(kg CO2-eq)]]/1000</f>
        <v>0</v>
      </c>
      <c r="V145" s="816">
        <f>IF(Table1[[#This Row],[Results incl. comp. (ton CO2-eq2]]&lt;0,Table1[[#This Row],[Results incl. comp. (ton CO2-eq2]],0)</f>
        <v>0</v>
      </c>
      <c r="W145" s="816">
        <f t="shared" si="17"/>
        <v>0</v>
      </c>
      <c r="X145" s="816">
        <f>Table1[[#This Row],[Results
(ton CO2-eq)]]</f>
        <v>0</v>
      </c>
    </row>
    <row r="146" spans="2:24">
      <c r="B146" s="1052" t="s">
        <v>1171</v>
      </c>
      <c r="C146" s="1052" t="s">
        <v>1171</v>
      </c>
      <c r="D146" s="1052" t="s">
        <v>481</v>
      </c>
      <c r="E146" s="653" t="s">
        <v>1151</v>
      </c>
      <c r="F146" s="814">
        <f>IF(E146="Direct",_xlfn.XLOOKUP(D146,'Input import'!B:B,'Input import'!D:D,""),_xlfn.XLOOKUP(D146,'Facilitatory data'!E:E,'Facilitatory data'!G:G,""))</f>
        <v>0</v>
      </c>
      <c r="G146" s="653" t="str">
        <f>IF(E146="Direct",_xlfn.XLOOKUP(D146,'Input import'!B:B,'Input import'!E:E,_xlfn.XLOOKUP(D146,'Input sheet format'!F:F,'Input sheet format'!I:I,"")),_xlfn.XLOOKUP(D146,'Facilitatory data'!E:E,'Facilitatory data'!H:H,""))</f>
        <v>litres</v>
      </c>
      <c r="H146" s="653">
        <v>1</v>
      </c>
      <c r="I146" s="653" t="s">
        <v>91</v>
      </c>
      <c r="J146" s="811">
        <v>1</v>
      </c>
      <c r="K146" s="653" t="s">
        <v>1153</v>
      </c>
      <c r="L146" s="653" t="s">
        <v>1446</v>
      </c>
      <c r="M146" s="653" t="s">
        <v>1676</v>
      </c>
      <c r="N146" s="1098" t="s">
        <v>1807</v>
      </c>
      <c r="Q146" s="703">
        <f>Q145/2</f>
        <v>0.19333333333333333</v>
      </c>
      <c r="R146" s="653" t="str">
        <f>'Emission factors - list'!E93</f>
        <v>kg CO2-eq / L</v>
      </c>
      <c r="S146" s="961" t="b">
        <f t="shared" si="15"/>
        <v>1</v>
      </c>
      <c r="T146" s="816">
        <f t="shared" si="16"/>
        <v>0</v>
      </c>
      <c r="U146" s="816">
        <f>Table1[[#This Row],[Results 
(kg CO2-eq)]]/1000</f>
        <v>0</v>
      </c>
      <c r="V146" s="816">
        <f>IF(Table1[[#This Row],[Results incl. comp. (ton CO2-eq2]]&lt;0,Table1[[#This Row],[Results incl. comp. (ton CO2-eq2]],0)</f>
        <v>0</v>
      </c>
      <c r="W146" s="816">
        <f t="shared" si="17"/>
        <v>0</v>
      </c>
      <c r="X146" s="816">
        <f>Table1[[#This Row],[Results
(ton CO2-eq)]]</f>
        <v>0</v>
      </c>
    </row>
    <row r="147" spans="2:24">
      <c r="B147" s="1052" t="s">
        <v>1171</v>
      </c>
      <c r="C147" s="1052" t="s">
        <v>1171</v>
      </c>
      <c r="D147" s="1052" t="s">
        <v>483</v>
      </c>
      <c r="E147" s="653" t="s">
        <v>1151</v>
      </c>
      <c r="F147" s="814">
        <f>IF(E147="Direct",_xlfn.XLOOKUP(D147,'Input import'!B:B,'Input import'!D:D,""),_xlfn.XLOOKUP(D147,'Facilitatory data'!E:E,'Facilitatory data'!G:G,""))</f>
        <v>0</v>
      </c>
      <c r="G147" s="653" t="str">
        <f>IF(E147="Direct",_xlfn.XLOOKUP(D147,'Input import'!B:B,'Input import'!E:E,_xlfn.XLOOKUP(D147,'Input sheet format'!F:F,'Input sheet format'!I:I,"")),_xlfn.XLOOKUP(D147,'Facilitatory data'!E:E,'Facilitatory data'!H:H,""))</f>
        <v>litres</v>
      </c>
      <c r="H147" s="653">
        <v>1</v>
      </c>
      <c r="I147" s="653" t="s">
        <v>91</v>
      </c>
      <c r="J147" s="811">
        <v>1</v>
      </c>
      <c r="K147" s="653" t="s">
        <v>1153</v>
      </c>
      <c r="L147" s="653" t="s">
        <v>1446</v>
      </c>
      <c r="M147" s="653" t="s">
        <v>1682</v>
      </c>
      <c r="N147" s="1098" t="s">
        <v>1807</v>
      </c>
      <c r="Q147" s="703">
        <v>0</v>
      </c>
      <c r="R147" s="653" t="str">
        <f>'Emission factors - list'!E94</f>
        <v>kg CO2-eq / L</v>
      </c>
      <c r="S147" s="961" t="b">
        <f t="shared" si="15"/>
        <v>1</v>
      </c>
      <c r="T147" s="816">
        <f t="shared" si="16"/>
        <v>0</v>
      </c>
      <c r="U147" s="816">
        <f>Table1[[#This Row],[Results 
(kg CO2-eq)]]/1000</f>
        <v>0</v>
      </c>
      <c r="V147" s="816">
        <f>IF(Table1[[#This Row],[Results incl. comp. (ton CO2-eq2]]&lt;0,Table1[[#This Row],[Results incl. comp. (ton CO2-eq2]],0)</f>
        <v>0</v>
      </c>
      <c r="W147" s="816">
        <f t="shared" si="17"/>
        <v>0</v>
      </c>
      <c r="X147" s="816">
        <f>Table1[[#This Row],[Results
(ton CO2-eq)]]</f>
        <v>0</v>
      </c>
    </row>
    <row r="148" spans="2:24">
      <c r="B148" s="1052" t="s">
        <v>1171</v>
      </c>
      <c r="C148" s="1052" t="s">
        <v>1171</v>
      </c>
      <c r="D148" s="1052" t="s">
        <v>485</v>
      </c>
      <c r="E148" s="653" t="s">
        <v>1151</v>
      </c>
      <c r="F148" s="814">
        <f>IF(E148="Direct",_xlfn.XLOOKUP(D148,'Input import'!B:B,'Input import'!D:D,""),_xlfn.XLOOKUP(D148,'Facilitatory data'!E:E,'Facilitatory data'!G:G,""))</f>
        <v>0</v>
      </c>
      <c r="G148" s="653" t="str">
        <f>IF(E148="Direct",_xlfn.XLOOKUP(D148,'Input import'!B:B,'Input import'!E:E,_xlfn.XLOOKUP(D148,'Input sheet format'!F:F,'Input sheet format'!I:I,"")),_xlfn.XLOOKUP(D148,'Facilitatory data'!E:E,'Facilitatory data'!H:H,""))</f>
        <v>litres</v>
      </c>
      <c r="H148" s="653">
        <v>1</v>
      </c>
      <c r="I148" s="653" t="s">
        <v>91</v>
      </c>
      <c r="J148" s="811">
        <v>1</v>
      </c>
      <c r="K148" s="653" t="s">
        <v>1153</v>
      </c>
      <c r="L148" s="653" t="s">
        <v>1685</v>
      </c>
      <c r="M148" s="653" t="s">
        <v>1686</v>
      </c>
      <c r="N148" s="1098" t="s">
        <v>1807</v>
      </c>
      <c r="Q148" s="703">
        <f>'Emission factors - list'!D97</f>
        <v>2.038095238095238</v>
      </c>
      <c r="R148" s="653" t="str">
        <f>'Emission factors - list'!E97</f>
        <v>kg CO2-eq / L</v>
      </c>
      <c r="S148" s="961" t="b">
        <f t="shared" si="15"/>
        <v>1</v>
      </c>
      <c r="T148" s="816">
        <f t="shared" si="16"/>
        <v>0</v>
      </c>
      <c r="U148" s="816">
        <f>Table1[[#This Row],[Results 
(kg CO2-eq)]]/1000</f>
        <v>0</v>
      </c>
      <c r="V148" s="816">
        <f>IF(Table1[[#This Row],[Results incl. comp. (ton CO2-eq2]]&lt;0,Table1[[#This Row],[Results incl. comp. (ton CO2-eq2]],0)</f>
        <v>0</v>
      </c>
      <c r="W148" s="816">
        <f t="shared" si="17"/>
        <v>0</v>
      </c>
      <c r="X148" s="816">
        <f>Table1[[#This Row],[Results
(ton CO2-eq)]]</f>
        <v>0</v>
      </c>
    </row>
    <row r="149" spans="2:24">
      <c r="B149" s="1052" t="s">
        <v>1171</v>
      </c>
      <c r="C149" s="1052" t="s">
        <v>1171</v>
      </c>
      <c r="D149" s="1052" t="s">
        <v>487</v>
      </c>
      <c r="E149" s="653" t="s">
        <v>1151</v>
      </c>
      <c r="F149" s="814">
        <f>IF(E149="Direct",_xlfn.XLOOKUP(D149,'Input import'!B:B,'Input import'!D:D,""),_xlfn.XLOOKUP(D149,'Facilitatory data'!E:E,'Facilitatory data'!G:G,""))</f>
        <v>0</v>
      </c>
      <c r="G149" s="653" t="str">
        <f>IF(E149="Direct",_xlfn.XLOOKUP(D149,'Input import'!B:B,'Input import'!E:E,_xlfn.XLOOKUP(D149,'Input sheet format'!F:F,'Input sheet format'!I:I,"")),_xlfn.XLOOKUP(D149,'Facilitatory data'!E:E,'Facilitatory data'!H:H,""))</f>
        <v>litres</v>
      </c>
      <c r="H149" s="653">
        <v>1</v>
      </c>
      <c r="I149" s="653" t="s">
        <v>91</v>
      </c>
      <c r="J149" s="811">
        <v>1</v>
      </c>
      <c r="K149" s="653" t="s">
        <v>1153</v>
      </c>
      <c r="L149" s="653" t="s">
        <v>1685</v>
      </c>
      <c r="M149" s="653" t="s">
        <v>1676</v>
      </c>
      <c r="N149" s="1098" t="s">
        <v>1807</v>
      </c>
      <c r="Q149" s="703">
        <f>Q148/2</f>
        <v>1.019047619047619</v>
      </c>
      <c r="R149" s="653" t="str">
        <f>'Emission factors - list'!E97</f>
        <v>kg CO2-eq / L</v>
      </c>
      <c r="S149" s="961" t="b">
        <f t="shared" si="15"/>
        <v>1</v>
      </c>
      <c r="T149" s="816">
        <f t="shared" si="16"/>
        <v>0</v>
      </c>
      <c r="U149" s="816">
        <f>Table1[[#This Row],[Results 
(kg CO2-eq)]]/1000</f>
        <v>0</v>
      </c>
      <c r="V149" s="816">
        <f>IF(Table1[[#This Row],[Results incl. comp. (ton CO2-eq2]]&lt;0,Table1[[#This Row],[Results incl. comp. (ton CO2-eq2]],0)</f>
        <v>0</v>
      </c>
      <c r="W149" s="816">
        <f t="shared" si="17"/>
        <v>0</v>
      </c>
      <c r="X149" s="816">
        <f>Table1[[#This Row],[Results
(ton CO2-eq)]]</f>
        <v>0</v>
      </c>
    </row>
    <row r="150" spans="2:24">
      <c r="B150" s="1052" t="s">
        <v>1171</v>
      </c>
      <c r="C150" s="1052" t="s">
        <v>1171</v>
      </c>
      <c r="D150" s="1052" t="s">
        <v>489</v>
      </c>
      <c r="E150" s="653" t="s">
        <v>1151</v>
      </c>
      <c r="F150" s="814">
        <f>IF(E150="Direct",_xlfn.XLOOKUP(D150,'Input import'!B:B,'Input import'!D:D,""),_xlfn.XLOOKUP(D150,'Facilitatory data'!E:E,'Facilitatory data'!G:G,""))</f>
        <v>0</v>
      </c>
      <c r="G150" s="653" t="str">
        <f>IF(E150="Direct",_xlfn.XLOOKUP(D150,'Input import'!B:B,'Input import'!E:E,_xlfn.XLOOKUP(D150,'Input sheet format'!F:F,'Input sheet format'!I:I,"")),_xlfn.XLOOKUP(D150,'Facilitatory data'!E:E,'Facilitatory data'!H:H,""))</f>
        <v>litres</v>
      </c>
      <c r="H150" s="653">
        <v>1</v>
      </c>
      <c r="I150" s="653" t="s">
        <v>91</v>
      </c>
      <c r="J150" s="811">
        <v>1</v>
      </c>
      <c r="K150" s="653" t="s">
        <v>1153</v>
      </c>
      <c r="L150" s="653" t="s">
        <v>1685</v>
      </c>
      <c r="M150" s="653" t="s">
        <v>1682</v>
      </c>
      <c r="N150" s="1098" t="s">
        <v>1807</v>
      </c>
      <c r="Q150" s="703">
        <v>0</v>
      </c>
      <c r="R150" s="653" t="str">
        <f>'Emission factors - list'!E97</f>
        <v>kg CO2-eq / L</v>
      </c>
      <c r="S150" s="961" t="b">
        <f t="shared" si="15"/>
        <v>1</v>
      </c>
      <c r="T150" s="816">
        <f t="shared" si="16"/>
        <v>0</v>
      </c>
      <c r="U150" s="816">
        <f>Table1[[#This Row],[Results 
(kg CO2-eq)]]/1000</f>
        <v>0</v>
      </c>
      <c r="V150" s="816">
        <f>IF(Table1[[#This Row],[Results incl. comp. (ton CO2-eq2]]&lt;0,Table1[[#This Row],[Results incl. comp. (ton CO2-eq2]],0)</f>
        <v>0</v>
      </c>
      <c r="W150" s="816">
        <f t="shared" si="17"/>
        <v>0</v>
      </c>
      <c r="X150" s="816">
        <f>Table1[[#This Row],[Results
(ton CO2-eq)]]</f>
        <v>0</v>
      </c>
    </row>
    <row r="151" spans="2:24">
      <c r="B151" s="1052" t="s">
        <v>1171</v>
      </c>
      <c r="C151" s="1052" t="s">
        <v>1171</v>
      </c>
      <c r="D151" s="1052" t="s">
        <v>491</v>
      </c>
      <c r="E151" s="653" t="s">
        <v>1151</v>
      </c>
      <c r="F151" s="814">
        <f>IF(E151="Direct",_xlfn.XLOOKUP(D151,'Input import'!B:B,'Input import'!D:D,""),_xlfn.XLOOKUP(D151,'Facilitatory data'!E:E,'Facilitatory data'!G:G,""))</f>
        <v>0</v>
      </c>
      <c r="G151" s="653" t="str">
        <f>IF(E151="Direct",_xlfn.XLOOKUP(D151,'Input import'!B:B,'Input import'!E:E,_xlfn.XLOOKUP(D151,'Input sheet format'!F:F,'Input sheet format'!I:I,"")),_xlfn.XLOOKUP(D151,'Facilitatory data'!E:E,'Facilitatory data'!H:H,""))</f>
        <v>litres</v>
      </c>
      <c r="H151" s="653">
        <v>1</v>
      </c>
      <c r="I151" s="653" t="s">
        <v>91</v>
      </c>
      <c r="J151" s="811">
        <v>1</v>
      </c>
      <c r="K151" s="653" t="s">
        <v>1153</v>
      </c>
      <c r="L151" s="653" t="s">
        <v>1349</v>
      </c>
      <c r="M151" s="653" t="s">
        <v>1686</v>
      </c>
      <c r="N151" s="1098" t="s">
        <v>1807</v>
      </c>
      <c r="Q151" s="703">
        <f>'Emission factors - list'!D98</f>
        <v>2.1866666666666665</v>
      </c>
      <c r="R151" s="653" t="str">
        <f>'Emission factors - list'!E98</f>
        <v>kg CO2-eq / L</v>
      </c>
      <c r="S151" s="961" t="b">
        <f t="shared" si="15"/>
        <v>1</v>
      </c>
      <c r="T151" s="816">
        <f t="shared" si="16"/>
        <v>0</v>
      </c>
      <c r="U151" s="816">
        <f>Table1[[#This Row],[Results 
(kg CO2-eq)]]/1000</f>
        <v>0</v>
      </c>
      <c r="V151" s="816">
        <f>IF(Table1[[#This Row],[Results incl. comp. (ton CO2-eq2]]&lt;0,Table1[[#This Row],[Results incl. comp. (ton CO2-eq2]],0)</f>
        <v>0</v>
      </c>
      <c r="W151" s="816">
        <f t="shared" si="17"/>
        <v>0</v>
      </c>
      <c r="X151" s="816">
        <f>Table1[[#This Row],[Results
(ton CO2-eq)]]</f>
        <v>0</v>
      </c>
    </row>
    <row r="152" spans="2:24">
      <c r="B152" s="1052" t="s">
        <v>1171</v>
      </c>
      <c r="C152" s="1052" t="s">
        <v>1171</v>
      </c>
      <c r="D152" s="1052" t="s">
        <v>493</v>
      </c>
      <c r="E152" s="653" t="s">
        <v>1151</v>
      </c>
      <c r="F152" s="814">
        <f>IF(E152="Direct",_xlfn.XLOOKUP(D152,'Input import'!B:B,'Input import'!D:D,""),_xlfn.XLOOKUP(D152,'Facilitatory data'!E:E,'Facilitatory data'!G:G,""))</f>
        <v>0</v>
      </c>
      <c r="G152" s="653" t="str">
        <f>IF(E152="Direct",_xlfn.XLOOKUP(D152,'Input import'!B:B,'Input import'!E:E,_xlfn.XLOOKUP(D152,'Input sheet format'!F:F,'Input sheet format'!I:I,"")),_xlfn.XLOOKUP(D152,'Facilitatory data'!E:E,'Facilitatory data'!H:H,""))</f>
        <v>litres</v>
      </c>
      <c r="H152" s="653">
        <v>1</v>
      </c>
      <c r="I152" s="653" t="s">
        <v>91</v>
      </c>
      <c r="J152" s="811">
        <v>1</v>
      </c>
      <c r="K152" s="653" t="s">
        <v>1153</v>
      </c>
      <c r="L152" s="653" t="s">
        <v>1349</v>
      </c>
      <c r="M152" s="653" t="s">
        <v>1676</v>
      </c>
      <c r="N152" s="1098" t="s">
        <v>1807</v>
      </c>
      <c r="Q152" s="703">
        <f>Q151/2</f>
        <v>1.0933333333333333</v>
      </c>
      <c r="R152" s="653" t="str">
        <f>'Emission factors - list'!E98</f>
        <v>kg CO2-eq / L</v>
      </c>
      <c r="S152" s="961" t="b">
        <f t="shared" si="15"/>
        <v>1</v>
      </c>
      <c r="T152" s="816">
        <f t="shared" si="16"/>
        <v>0</v>
      </c>
      <c r="U152" s="816">
        <f>Table1[[#This Row],[Results 
(kg CO2-eq)]]/1000</f>
        <v>0</v>
      </c>
      <c r="V152" s="816">
        <f>IF(Table1[[#This Row],[Results incl. comp. (ton CO2-eq2]]&lt;0,Table1[[#This Row],[Results incl. comp. (ton CO2-eq2]],0)</f>
        <v>0</v>
      </c>
      <c r="W152" s="816">
        <f t="shared" si="17"/>
        <v>0</v>
      </c>
      <c r="X152" s="816">
        <f>Table1[[#This Row],[Results
(ton CO2-eq)]]</f>
        <v>0</v>
      </c>
    </row>
    <row r="153" spans="2:24">
      <c r="B153" s="1052" t="s">
        <v>1171</v>
      </c>
      <c r="C153" s="1052" t="s">
        <v>1171</v>
      </c>
      <c r="D153" s="1052" t="s">
        <v>495</v>
      </c>
      <c r="E153" s="653" t="s">
        <v>1151</v>
      </c>
      <c r="F153" s="814">
        <f>IF(E153="Direct",_xlfn.XLOOKUP(D153,'Input import'!B:B,'Input import'!D:D,""),_xlfn.XLOOKUP(D153,'Facilitatory data'!E:E,'Facilitatory data'!G:G,""))</f>
        <v>0</v>
      </c>
      <c r="G153" s="653" t="str">
        <f>IF(E153="Direct",_xlfn.XLOOKUP(D153,'Input import'!B:B,'Input import'!E:E,_xlfn.XLOOKUP(D153,'Input sheet format'!F:F,'Input sheet format'!I:I,"")),_xlfn.XLOOKUP(D153,'Facilitatory data'!E:E,'Facilitatory data'!H:H,""))</f>
        <v>litres</v>
      </c>
      <c r="H153" s="653">
        <v>1</v>
      </c>
      <c r="I153" s="653" t="s">
        <v>91</v>
      </c>
      <c r="J153" s="811">
        <v>1</v>
      </c>
      <c r="K153" s="653" t="s">
        <v>1153</v>
      </c>
      <c r="L153" s="653" t="s">
        <v>1349</v>
      </c>
      <c r="M153" s="653" t="s">
        <v>1682</v>
      </c>
      <c r="N153" s="1098" t="s">
        <v>1807</v>
      </c>
      <c r="Q153" s="703">
        <v>0</v>
      </c>
      <c r="R153" s="653" t="str">
        <f>'Emission factors - list'!E98</f>
        <v>kg CO2-eq / L</v>
      </c>
      <c r="S153" s="961" t="b">
        <f t="shared" si="15"/>
        <v>1</v>
      </c>
      <c r="T153" s="816">
        <f t="shared" si="16"/>
        <v>0</v>
      </c>
      <c r="U153" s="816">
        <f>Table1[[#This Row],[Results 
(kg CO2-eq)]]/1000</f>
        <v>0</v>
      </c>
      <c r="V153" s="816">
        <f>IF(Table1[[#This Row],[Results incl. comp. (ton CO2-eq2]]&lt;0,Table1[[#This Row],[Results incl. comp. (ton CO2-eq2]],0)</f>
        <v>0</v>
      </c>
      <c r="W153" s="816">
        <f t="shared" si="17"/>
        <v>0</v>
      </c>
      <c r="X153" s="816">
        <f>Table1[[#This Row],[Results
(ton CO2-eq)]]</f>
        <v>0</v>
      </c>
    </row>
    <row r="154" spans="2:24">
      <c r="B154" s="1052" t="s">
        <v>1171</v>
      </c>
      <c r="C154" s="1052" t="s">
        <v>1171</v>
      </c>
      <c r="D154" s="1052" t="s">
        <v>497</v>
      </c>
      <c r="E154" s="653" t="s">
        <v>1151</v>
      </c>
      <c r="F154" s="814">
        <f>IF(E154="Direct",_xlfn.XLOOKUP(D154,'Input import'!B:B,'Input import'!D:D,""),_xlfn.XLOOKUP(D154,'Facilitatory data'!E:E,'Facilitatory data'!G:G,""))</f>
        <v>0</v>
      </c>
      <c r="G154" s="653" t="str">
        <f>IF(E154="Direct",_xlfn.XLOOKUP(D154,'Input import'!B:B,'Input import'!E:E,_xlfn.XLOOKUP(D154,'Input sheet format'!F:F,'Input sheet format'!I:I,"")),_xlfn.XLOOKUP(D154,'Facilitatory data'!E:E,'Facilitatory data'!H:H,""))</f>
        <v>litres</v>
      </c>
      <c r="H154" s="653">
        <v>1</v>
      </c>
      <c r="I154" s="653" t="s">
        <v>91</v>
      </c>
      <c r="J154" s="811">
        <v>1</v>
      </c>
      <c r="K154" s="653" t="s">
        <v>1153</v>
      </c>
      <c r="L154" s="1139" t="s">
        <v>1315</v>
      </c>
      <c r="M154" s="1139" t="s">
        <v>1686</v>
      </c>
      <c r="N154" s="1139" t="s">
        <v>1807</v>
      </c>
      <c r="Q154" s="703">
        <f>'Emission factors - list'!D82</f>
        <v>0.85077999999999998</v>
      </c>
      <c r="R154" s="653" t="str">
        <f>'Emission factors - list'!E82</f>
        <v>kg CO2-eq / L</v>
      </c>
      <c r="S154" s="961" t="b">
        <f>IFERROR(_xlfn.TEXTAFTER(R154,"/ ")=K154,"")</f>
        <v>1</v>
      </c>
      <c r="T154" s="816">
        <f>IFERROR(F154*H154*J154*Q154,"Error")</f>
        <v>0</v>
      </c>
      <c r="U154" s="816">
        <f>Table1[[#This Row],[Results 
(kg CO2-eq)]]/1000</f>
        <v>0</v>
      </c>
      <c r="V154" s="816">
        <f>IF(Table1[[#This Row],[Results incl. comp. (ton CO2-eq2]]&lt;0,Table1[[#This Row],[Results incl. comp. (ton CO2-eq2]],0)</f>
        <v>0</v>
      </c>
      <c r="W154" s="816">
        <f>IFERROR(F154*H154*J154*Q154,"Error")</f>
        <v>0</v>
      </c>
      <c r="X154" s="816">
        <f>Table1[[#This Row],[Results
(ton CO2-eq)]]</f>
        <v>0</v>
      </c>
    </row>
    <row r="155" spans="2:24">
      <c r="B155" s="1052" t="s">
        <v>1171</v>
      </c>
      <c r="C155" s="1052" t="s">
        <v>1171</v>
      </c>
      <c r="D155" s="1052" t="s">
        <v>499</v>
      </c>
      <c r="E155" s="653" t="s">
        <v>1151</v>
      </c>
      <c r="F155" s="814">
        <f>IF(E155="Direct",_xlfn.XLOOKUP(D155,'Input import'!B:B,'Input import'!D:D,""),_xlfn.XLOOKUP(D155,'Facilitatory data'!E:E,'Facilitatory data'!G:G,""))</f>
        <v>0</v>
      </c>
      <c r="G155" s="653" t="str">
        <f>IF(E155="Direct",_xlfn.XLOOKUP(D155,'Input import'!B:B,'Input import'!E:E,_xlfn.XLOOKUP(D155,'Input sheet format'!F:F,'Input sheet format'!I:I,"")),_xlfn.XLOOKUP(D155,'Facilitatory data'!E:E,'Facilitatory data'!H:H,""))</f>
        <v>litres</v>
      </c>
      <c r="H155" s="653">
        <v>1</v>
      </c>
      <c r="I155" s="653" t="s">
        <v>91</v>
      </c>
      <c r="J155" s="811">
        <v>1</v>
      </c>
      <c r="K155" s="653" t="s">
        <v>1153</v>
      </c>
      <c r="L155" s="1139" t="s">
        <v>1315</v>
      </c>
      <c r="M155" s="1139" t="s">
        <v>1676</v>
      </c>
      <c r="N155" s="1139" t="s">
        <v>1807</v>
      </c>
      <c r="Q155" s="703">
        <f>Q154/2</f>
        <v>0.42538999999999999</v>
      </c>
      <c r="R155" s="653" t="str">
        <f>'Emission factors - list'!E82</f>
        <v>kg CO2-eq / L</v>
      </c>
      <c r="S155" s="961" t="b">
        <f>IFERROR(_xlfn.TEXTAFTER(R155,"/ ")=K155,"")</f>
        <v>1</v>
      </c>
      <c r="T155" s="816">
        <f>IFERROR(F155*H155*J155*Q155,"Error")</f>
        <v>0</v>
      </c>
      <c r="U155" s="816">
        <f>Table1[[#This Row],[Results 
(kg CO2-eq)]]/1000</f>
        <v>0</v>
      </c>
      <c r="V155" s="816">
        <f>IF(Table1[[#This Row],[Results incl. comp. (ton CO2-eq2]]&lt;0,Table1[[#This Row],[Results incl. comp. (ton CO2-eq2]],0)</f>
        <v>0</v>
      </c>
      <c r="W155" s="816">
        <f>IFERROR(F155*H155*J155*Q155,"Error")</f>
        <v>0</v>
      </c>
      <c r="X155" s="816">
        <f>Table1[[#This Row],[Results
(ton CO2-eq)]]</f>
        <v>0</v>
      </c>
    </row>
    <row r="156" spans="2:24">
      <c r="B156" s="1052" t="s">
        <v>1171</v>
      </c>
      <c r="C156" s="1052" t="s">
        <v>1171</v>
      </c>
      <c r="D156" s="1052" t="s">
        <v>501</v>
      </c>
      <c r="E156" s="653" t="s">
        <v>1151</v>
      </c>
      <c r="F156" s="814">
        <f>IF(E156="Direct",_xlfn.XLOOKUP(D156,'Input import'!B:B,'Input import'!D:D,""),_xlfn.XLOOKUP(D156,'Facilitatory data'!E:E,'Facilitatory data'!G:G,""))</f>
        <v>0</v>
      </c>
      <c r="G156" s="653" t="str">
        <f>IF(E156="Direct",_xlfn.XLOOKUP(D156,'Input import'!B:B,'Input import'!E:E,_xlfn.XLOOKUP(D156,'Input sheet format'!F:F,'Input sheet format'!I:I,"")),_xlfn.XLOOKUP(D156,'Facilitatory data'!E:E,'Facilitatory data'!H:H,""))</f>
        <v>litres</v>
      </c>
      <c r="H156" s="653">
        <v>1</v>
      </c>
      <c r="I156" s="653" t="s">
        <v>91</v>
      </c>
      <c r="J156" s="811">
        <v>1</v>
      </c>
      <c r="K156" s="653" t="s">
        <v>1153</v>
      </c>
      <c r="L156" s="1139" t="s">
        <v>1315</v>
      </c>
      <c r="M156" s="1139" t="s">
        <v>1682</v>
      </c>
      <c r="N156" s="1139" t="s">
        <v>1807</v>
      </c>
      <c r="Q156" s="703">
        <v>0</v>
      </c>
      <c r="R156" s="653" t="str">
        <f>'Emission factors - list'!E82</f>
        <v>kg CO2-eq / L</v>
      </c>
      <c r="S156" s="961" t="b">
        <f>IFERROR(_xlfn.TEXTAFTER(R156,"/ ")=K156,"")</f>
        <v>1</v>
      </c>
      <c r="T156" s="816">
        <f>IFERROR(F156*H156*J156*Q156,"Error")</f>
        <v>0</v>
      </c>
      <c r="U156" s="816">
        <f>Table1[[#This Row],[Results 
(kg CO2-eq)]]/1000</f>
        <v>0</v>
      </c>
      <c r="V156" s="816">
        <f>IF(Table1[[#This Row],[Results incl. comp. (ton CO2-eq2]]&lt;0,Table1[[#This Row],[Results incl. comp. (ton CO2-eq2]],0)</f>
        <v>0</v>
      </c>
      <c r="W156" s="816">
        <f>IFERROR(F156*H156*J156*Q156,"Error")</f>
        <v>0</v>
      </c>
      <c r="X156" s="816">
        <f>Table1[[#This Row],[Results
(ton CO2-eq)]]</f>
        <v>0</v>
      </c>
    </row>
    <row r="157" spans="2:24">
      <c r="B157" s="1052" t="s">
        <v>1171</v>
      </c>
      <c r="C157" s="1052" t="s">
        <v>1171</v>
      </c>
      <c r="D157" s="1052" t="s">
        <v>503</v>
      </c>
      <c r="E157" s="653" t="s">
        <v>1151</v>
      </c>
      <c r="F157" s="814">
        <f>IF(E157="Direct",_xlfn.XLOOKUP(D157,'Input import'!B:B,'Input import'!D:D,""),_xlfn.XLOOKUP(D157,'Facilitatory data'!E:E,'Facilitatory data'!G:G,""))</f>
        <v>0</v>
      </c>
      <c r="G157" s="653" t="str">
        <f>IF(E157="Direct",_xlfn.XLOOKUP(D157,'Input import'!B:B,'Input import'!E:E,_xlfn.XLOOKUP(D157,'Input sheet format'!F:F,'Input sheet format'!I:I,"")),_xlfn.XLOOKUP(D157,'Facilitatory data'!E:E,'Facilitatory data'!H:H,""))</f>
        <v>litres</v>
      </c>
      <c r="H157" s="653">
        <v>1</v>
      </c>
      <c r="I157" s="653" t="s">
        <v>91</v>
      </c>
      <c r="J157" s="811">
        <v>1</v>
      </c>
      <c r="K157" s="653" t="s">
        <v>1153</v>
      </c>
      <c r="L157" s="653" t="s">
        <v>1339</v>
      </c>
      <c r="M157" s="653" t="s">
        <v>1686</v>
      </c>
      <c r="N157" s="1098" t="s">
        <v>1807</v>
      </c>
      <c r="Q157" s="703">
        <f>'Emission factors - list'!D93</f>
        <v>1.0449204334375937</v>
      </c>
      <c r="R157" s="653" t="str">
        <f>'Emission factors - list'!E93</f>
        <v>kg CO2-eq / L</v>
      </c>
      <c r="S157" s="961" t="b">
        <f t="shared" si="15"/>
        <v>1</v>
      </c>
      <c r="T157" s="816">
        <f t="shared" si="16"/>
        <v>0</v>
      </c>
      <c r="U157" s="816">
        <f>Table1[[#This Row],[Results 
(kg CO2-eq)]]/1000</f>
        <v>0</v>
      </c>
      <c r="V157" s="816">
        <f>IF(Table1[[#This Row],[Results incl. comp. (ton CO2-eq2]]&lt;0,Table1[[#This Row],[Results incl. comp. (ton CO2-eq2]],0)</f>
        <v>0</v>
      </c>
      <c r="W157" s="816">
        <f t="shared" si="17"/>
        <v>0</v>
      </c>
      <c r="X157" s="816">
        <f>Table1[[#This Row],[Results
(ton CO2-eq)]]</f>
        <v>0</v>
      </c>
    </row>
    <row r="158" spans="2:24">
      <c r="B158" s="1052" t="s">
        <v>1171</v>
      </c>
      <c r="C158" s="1052" t="s">
        <v>1171</v>
      </c>
      <c r="D158" s="1052" t="s">
        <v>505</v>
      </c>
      <c r="E158" s="653" t="s">
        <v>1151</v>
      </c>
      <c r="F158" s="814">
        <f>IF(E158="Direct",_xlfn.XLOOKUP(D158,'Input import'!B:B,'Input import'!D:D,""),_xlfn.XLOOKUP(D158,'Facilitatory data'!E:E,'Facilitatory data'!G:G,""))</f>
        <v>0</v>
      </c>
      <c r="G158" s="653" t="str">
        <f>IF(E158="Direct",_xlfn.XLOOKUP(D158,'Input import'!B:B,'Input import'!E:E,_xlfn.XLOOKUP(D158,'Input sheet format'!F:F,'Input sheet format'!I:I,"")),_xlfn.XLOOKUP(D158,'Facilitatory data'!E:E,'Facilitatory data'!H:H,""))</f>
        <v>litres</v>
      </c>
      <c r="H158" s="653">
        <v>1</v>
      </c>
      <c r="I158" s="653" t="s">
        <v>91</v>
      </c>
      <c r="J158" s="811">
        <v>1</v>
      </c>
      <c r="K158" s="653" t="s">
        <v>1153</v>
      </c>
      <c r="L158" s="653" t="s">
        <v>1339</v>
      </c>
      <c r="M158" s="653" t="s">
        <v>1676</v>
      </c>
      <c r="N158" s="1098" t="s">
        <v>1807</v>
      </c>
      <c r="Q158" s="703">
        <f>Q157/2</f>
        <v>0.52246021671879683</v>
      </c>
      <c r="R158" s="653" t="str">
        <f>'Emission factors - list'!E93</f>
        <v>kg CO2-eq / L</v>
      </c>
      <c r="S158" s="961" t="b">
        <f t="shared" si="15"/>
        <v>1</v>
      </c>
      <c r="T158" s="816">
        <f t="shared" si="16"/>
        <v>0</v>
      </c>
      <c r="U158" s="816">
        <f>Table1[[#This Row],[Results 
(kg CO2-eq)]]/1000</f>
        <v>0</v>
      </c>
      <c r="V158" s="816">
        <f>IF(Table1[[#This Row],[Results incl. comp. (ton CO2-eq2]]&lt;0,Table1[[#This Row],[Results incl. comp. (ton CO2-eq2]],0)</f>
        <v>0</v>
      </c>
      <c r="W158" s="816">
        <f t="shared" si="17"/>
        <v>0</v>
      </c>
      <c r="X158" s="816">
        <f>Table1[[#This Row],[Results
(ton CO2-eq)]]</f>
        <v>0</v>
      </c>
    </row>
    <row r="159" spans="2:24">
      <c r="B159" s="1052" t="s">
        <v>1171</v>
      </c>
      <c r="C159" s="1052" t="s">
        <v>1171</v>
      </c>
      <c r="D159" s="1052" t="s">
        <v>507</v>
      </c>
      <c r="E159" s="653" t="s">
        <v>1151</v>
      </c>
      <c r="F159" s="814">
        <f>IF(E159="Direct",_xlfn.XLOOKUP(D159,'Input import'!B:B,'Input import'!D:D,""),_xlfn.XLOOKUP(D159,'Facilitatory data'!E:E,'Facilitatory data'!G:G,""))</f>
        <v>0</v>
      </c>
      <c r="G159" s="653" t="str">
        <f>IF(E159="Direct",_xlfn.XLOOKUP(D159,'Input import'!B:B,'Input import'!E:E,_xlfn.XLOOKUP(D159,'Input sheet format'!F:F,'Input sheet format'!I:I,"")),_xlfn.XLOOKUP(D159,'Facilitatory data'!E:E,'Facilitatory data'!H:H,""))</f>
        <v>litres</v>
      </c>
      <c r="H159" s="653">
        <v>1</v>
      </c>
      <c r="I159" s="653" t="s">
        <v>91</v>
      </c>
      <c r="J159" s="811">
        <v>1</v>
      </c>
      <c r="K159" s="653" t="s">
        <v>1153</v>
      </c>
      <c r="L159" s="653" t="s">
        <v>1339</v>
      </c>
      <c r="M159" s="653" t="s">
        <v>1682</v>
      </c>
      <c r="N159" s="1098" t="s">
        <v>1807</v>
      </c>
      <c r="Q159" s="703">
        <v>0</v>
      </c>
      <c r="R159" s="653" t="str">
        <f>'Emission factors - list'!E93</f>
        <v>kg CO2-eq / L</v>
      </c>
      <c r="S159" s="961" t="b">
        <f t="shared" si="15"/>
        <v>1</v>
      </c>
      <c r="T159" s="816">
        <f t="shared" si="16"/>
        <v>0</v>
      </c>
      <c r="U159" s="816">
        <f>Table1[[#This Row],[Results 
(kg CO2-eq)]]/1000</f>
        <v>0</v>
      </c>
      <c r="V159" s="816">
        <f>IF(Table1[[#This Row],[Results incl. comp. (ton CO2-eq2]]&lt;0,Table1[[#This Row],[Results incl. comp. (ton CO2-eq2]],0)</f>
        <v>0</v>
      </c>
      <c r="W159" s="816">
        <f t="shared" si="17"/>
        <v>0</v>
      </c>
      <c r="X159" s="816">
        <f>Table1[[#This Row],[Results
(ton CO2-eq)]]</f>
        <v>0</v>
      </c>
    </row>
    <row r="160" spans="2:24">
      <c r="B160" s="1052" t="s">
        <v>1171</v>
      </c>
      <c r="C160" s="1052" t="s">
        <v>1171</v>
      </c>
      <c r="D160" s="1052" t="s">
        <v>509</v>
      </c>
      <c r="E160" s="653" t="s">
        <v>1151</v>
      </c>
      <c r="F160" s="814">
        <f>IF(E160="Direct",_xlfn.XLOOKUP(D160,'Input import'!B:B,'Input import'!D:D,""),_xlfn.XLOOKUP(D160,'Facilitatory data'!E:E,'Facilitatory data'!G:G,""))</f>
        <v>0</v>
      </c>
      <c r="G160" s="653" t="str">
        <f>IF(E160="Direct",_xlfn.XLOOKUP(D160,'Input import'!B:B,'Input import'!E:E,_xlfn.XLOOKUP(D160,'Input sheet format'!F:F,'Input sheet format'!I:I,"")),_xlfn.XLOOKUP(D160,'Facilitatory data'!E:E,'Facilitatory data'!H:H,""))</f>
        <v>litres</v>
      </c>
      <c r="H160" s="653">
        <v>1</v>
      </c>
      <c r="I160" s="653" t="s">
        <v>91</v>
      </c>
      <c r="J160" s="811">
        <v>1</v>
      </c>
      <c r="K160" s="653" t="s">
        <v>1153</v>
      </c>
      <c r="L160" s="1139" t="s">
        <v>1824</v>
      </c>
      <c r="M160" s="1139" t="s">
        <v>1686</v>
      </c>
      <c r="N160" s="1139" t="s">
        <v>1807</v>
      </c>
      <c r="Q160" s="703">
        <f>'Emission factors - list'!D90</f>
        <v>3.6666666666666665</v>
      </c>
      <c r="R160" s="703" t="str">
        <f>'Emission factors - list'!E90</f>
        <v>kg CO2-eq / L</v>
      </c>
      <c r="S160" s="961" t="b">
        <f>IFERROR(_xlfn.TEXTAFTER(R160,"/ ")=K160,"")</f>
        <v>1</v>
      </c>
      <c r="T160" s="816">
        <f>IFERROR(F160*H160*J160*Q160,"Error")</f>
        <v>0</v>
      </c>
      <c r="U160" s="816">
        <f>Table1[[#This Row],[Results 
(kg CO2-eq)]]/1000</f>
        <v>0</v>
      </c>
      <c r="V160" s="816">
        <f>IF(Table1[[#This Row],[Results incl. comp. (ton CO2-eq2]]&lt;0,Table1[[#This Row],[Results incl. comp. (ton CO2-eq2]],0)</f>
        <v>0</v>
      </c>
      <c r="W160" s="816">
        <f>IFERROR(F160*H160*J160*Q160,"Error")</f>
        <v>0</v>
      </c>
      <c r="X160" s="816">
        <f>Table1[[#This Row],[Results
(ton CO2-eq)]]</f>
        <v>0</v>
      </c>
    </row>
    <row r="161" spans="1:24">
      <c r="B161" s="1052" t="s">
        <v>1171</v>
      </c>
      <c r="C161" s="1052" t="s">
        <v>1171</v>
      </c>
      <c r="D161" s="1052" t="s">
        <v>511</v>
      </c>
      <c r="E161" s="653" t="s">
        <v>1151</v>
      </c>
      <c r="F161" s="814">
        <f>IF(E161="Direct",_xlfn.XLOOKUP(D161,'Input import'!B:B,'Input import'!D:D,""),_xlfn.XLOOKUP(D161,'Facilitatory data'!E:E,'Facilitatory data'!G:G,""))</f>
        <v>0</v>
      </c>
      <c r="G161" s="653" t="str">
        <f>IF(E161="Direct",_xlfn.XLOOKUP(D161,'Input import'!B:B,'Input import'!E:E,_xlfn.XLOOKUP(D161,'Input sheet format'!F:F,'Input sheet format'!I:I,"")),_xlfn.XLOOKUP(D161,'Facilitatory data'!E:E,'Facilitatory data'!H:H,""))</f>
        <v>litres</v>
      </c>
      <c r="H161" s="653">
        <v>1</v>
      </c>
      <c r="I161" s="653" t="s">
        <v>91</v>
      </c>
      <c r="J161" s="811">
        <v>1</v>
      </c>
      <c r="K161" s="653" t="s">
        <v>1153</v>
      </c>
      <c r="L161" s="1139" t="s">
        <v>1824</v>
      </c>
      <c r="M161" s="1139" t="s">
        <v>1676</v>
      </c>
      <c r="N161" s="1139" t="s">
        <v>1807</v>
      </c>
      <c r="Q161" s="703">
        <f>Q160/2</f>
        <v>1.8333333333333333</v>
      </c>
      <c r="R161" s="653" t="str">
        <f>'Emission factors - list'!E90</f>
        <v>kg CO2-eq / L</v>
      </c>
      <c r="S161" s="961" t="b">
        <f>IFERROR(_xlfn.TEXTAFTER(R161,"/ ")=K161,"")</f>
        <v>1</v>
      </c>
      <c r="T161" s="816">
        <f>IFERROR(F161*H161*J161*Q161,"Error")</f>
        <v>0</v>
      </c>
      <c r="U161" s="816">
        <f>Table1[[#This Row],[Results 
(kg CO2-eq)]]/1000</f>
        <v>0</v>
      </c>
      <c r="V161" s="816">
        <f>IF(Table1[[#This Row],[Results incl. comp. (ton CO2-eq2]]&lt;0,Table1[[#This Row],[Results incl. comp. (ton CO2-eq2]],0)</f>
        <v>0</v>
      </c>
      <c r="W161" s="816">
        <f>IFERROR(F161*H161*J161*Q161,"Error")</f>
        <v>0</v>
      </c>
      <c r="X161" s="816">
        <f>Table1[[#This Row],[Results
(ton CO2-eq)]]</f>
        <v>0</v>
      </c>
    </row>
    <row r="162" spans="1:24">
      <c r="B162" s="1052" t="s">
        <v>1171</v>
      </c>
      <c r="C162" s="1052" t="s">
        <v>1171</v>
      </c>
      <c r="D162" s="1052" t="s">
        <v>513</v>
      </c>
      <c r="E162" s="653" t="s">
        <v>1151</v>
      </c>
      <c r="F162" s="814">
        <f>IF(E162="Direct",_xlfn.XLOOKUP(D162,'Input import'!B:B,'Input import'!D:D,""),_xlfn.XLOOKUP(D162,'Facilitatory data'!E:E,'Facilitatory data'!G:G,""))</f>
        <v>0</v>
      </c>
      <c r="G162" s="653" t="str">
        <f>IF(E162="Direct",_xlfn.XLOOKUP(D162,'Input import'!B:B,'Input import'!E:E,_xlfn.XLOOKUP(D162,'Input sheet format'!F:F,'Input sheet format'!I:I,"")),_xlfn.XLOOKUP(D162,'Facilitatory data'!E:E,'Facilitatory data'!H:H,""))</f>
        <v>litres</v>
      </c>
      <c r="H162" s="653">
        <v>1</v>
      </c>
      <c r="I162" s="653" t="s">
        <v>91</v>
      </c>
      <c r="J162" s="811">
        <v>1</v>
      </c>
      <c r="K162" s="653" t="s">
        <v>1153</v>
      </c>
      <c r="L162" s="1139" t="s">
        <v>1824</v>
      </c>
      <c r="M162" s="1139" t="s">
        <v>1682</v>
      </c>
      <c r="N162" s="1139" t="s">
        <v>1807</v>
      </c>
      <c r="Q162" s="703">
        <v>0</v>
      </c>
      <c r="R162" s="653" t="str">
        <f>'Emission factors - list'!E90</f>
        <v>kg CO2-eq / L</v>
      </c>
      <c r="S162" s="961" t="b">
        <f>IFERROR(_xlfn.TEXTAFTER(R162,"/ ")=K162,"")</f>
        <v>1</v>
      </c>
      <c r="T162" s="816">
        <f>IFERROR(F162*H162*J162*Q162,"Error")</f>
        <v>0</v>
      </c>
      <c r="U162" s="816">
        <f>Table1[[#This Row],[Results 
(kg CO2-eq)]]/1000</f>
        <v>0</v>
      </c>
      <c r="V162" s="816">
        <f>IF(Table1[[#This Row],[Results incl. comp. (ton CO2-eq2]]&lt;0,Table1[[#This Row],[Results incl. comp. (ton CO2-eq2]],0)</f>
        <v>0</v>
      </c>
      <c r="W162" s="816">
        <f>IFERROR(F162*H162*J162*Q162,"Error")</f>
        <v>0</v>
      </c>
      <c r="X162" s="816">
        <f>Table1[[#This Row],[Results
(ton CO2-eq)]]</f>
        <v>0</v>
      </c>
    </row>
    <row r="163" spans="1:24">
      <c r="B163" s="1052" t="s">
        <v>1171</v>
      </c>
      <c r="C163" s="1052" t="s">
        <v>1171</v>
      </c>
      <c r="D163" s="1052" t="s">
        <v>515</v>
      </c>
      <c r="E163" s="653" t="s">
        <v>1151</v>
      </c>
      <c r="F163" s="814">
        <f>IF(E163="Direct",_xlfn.XLOOKUP(D163,'Input import'!B:B,'Input import'!D:D,""),_xlfn.XLOOKUP(D163,'Facilitatory data'!E:E,'Facilitatory data'!G:G,""))</f>
        <v>0</v>
      </c>
      <c r="G163" s="653" t="str">
        <f>IF(E163="Direct",_xlfn.XLOOKUP(D163,'Input import'!B:B,'Input import'!E:E,_xlfn.XLOOKUP(D163,'Input sheet format'!F:F,'Input sheet format'!I:I,"")),_xlfn.XLOOKUP(D163,'Facilitatory data'!E:E,'Facilitatory data'!H:H,""))</f>
        <v>litres</v>
      </c>
      <c r="H163" s="653">
        <v>1</v>
      </c>
      <c r="I163" s="653" t="s">
        <v>91</v>
      </c>
      <c r="J163" s="811">
        <v>1</v>
      </c>
      <c r="K163" s="653" t="s">
        <v>1153</v>
      </c>
      <c r="L163" s="653" t="s">
        <v>1345</v>
      </c>
      <c r="M163" s="1098" t="s">
        <v>1807</v>
      </c>
      <c r="N163" s="1098" t="s">
        <v>1807</v>
      </c>
      <c r="Q163" s="703">
        <f>'Emission factors - list'!D96</f>
        <v>1.2422649188554012E-2</v>
      </c>
      <c r="R163" s="653" t="str">
        <f>'Emission factors - list'!E96</f>
        <v>kg CO2-eq / L</v>
      </c>
      <c r="S163" s="961" t="b">
        <f t="shared" si="15"/>
        <v>1</v>
      </c>
      <c r="T163" s="816">
        <f t="shared" si="16"/>
        <v>0</v>
      </c>
      <c r="U163" s="816">
        <f>Table1[[#This Row],[Results 
(kg CO2-eq)]]/1000</f>
        <v>0</v>
      </c>
      <c r="V163" s="816">
        <f>IF(Table1[[#This Row],[Results incl. comp. (ton CO2-eq2]]&lt;0,Table1[[#This Row],[Results incl. comp. (ton CO2-eq2]],0)</f>
        <v>0</v>
      </c>
      <c r="W163" s="816">
        <f t="shared" si="17"/>
        <v>0</v>
      </c>
      <c r="X163" s="816">
        <f>Table1[[#This Row],[Results
(ton CO2-eq)]]</f>
        <v>0</v>
      </c>
    </row>
    <row r="164" spans="1:24">
      <c r="B164" s="1052" t="s">
        <v>1171</v>
      </c>
      <c r="C164" s="1052" t="s">
        <v>1171</v>
      </c>
      <c r="D164" s="1052" t="s">
        <v>517</v>
      </c>
      <c r="E164" s="653" t="s">
        <v>1151</v>
      </c>
      <c r="F164" s="814">
        <f>IF(E164="Direct",_xlfn.XLOOKUP(D164,'Input import'!B:B,'Input import'!D:D,""),_xlfn.XLOOKUP(D164,'Facilitatory data'!E:E,'Facilitatory data'!G:G,""))</f>
        <v>0</v>
      </c>
      <c r="G164" s="653" t="str">
        <f>IF(E164="Direct",_xlfn.XLOOKUP(D164,'Input import'!B:B,'Input import'!E:E,_xlfn.XLOOKUP(D164,'Input sheet format'!F:F,'Input sheet format'!I:I,"")),_xlfn.XLOOKUP(D164,'Facilitatory data'!E:E,'Facilitatory data'!H:H,""))</f>
        <v>litres</v>
      </c>
      <c r="H164" s="653">
        <v>1</v>
      </c>
      <c r="I164" s="653" t="s">
        <v>91</v>
      </c>
      <c r="J164" s="811">
        <v>1</v>
      </c>
      <c r="K164" s="653" t="s">
        <v>1153</v>
      </c>
      <c r="L164" s="653" t="s">
        <v>1368</v>
      </c>
      <c r="M164" s="1098" t="s">
        <v>1807</v>
      </c>
      <c r="N164" s="1098" t="s">
        <v>1807</v>
      </c>
      <c r="Q164" s="703">
        <f>'Emission factors - list'!D87</f>
        <v>0.16</v>
      </c>
      <c r="R164" s="653" t="str">
        <f>'Emission factors - list'!E87</f>
        <v>kg CO2-eq / L</v>
      </c>
      <c r="S164" s="961" t="b">
        <f t="shared" si="15"/>
        <v>1</v>
      </c>
      <c r="T164" s="816">
        <f t="shared" si="16"/>
        <v>0</v>
      </c>
      <c r="U164" s="816">
        <f>Table1[[#This Row],[Results 
(kg CO2-eq)]]/1000</f>
        <v>0</v>
      </c>
      <c r="V164" s="816">
        <f>IF(Table1[[#This Row],[Results incl. comp. (ton CO2-eq2]]&lt;0,Table1[[#This Row],[Results incl. comp. (ton CO2-eq2]],0)</f>
        <v>0</v>
      </c>
      <c r="W164" s="816">
        <f t="shared" si="17"/>
        <v>0</v>
      </c>
      <c r="X164" s="816">
        <f>Table1[[#This Row],[Results
(ton CO2-eq)]]</f>
        <v>0</v>
      </c>
    </row>
    <row r="165" spans="1:24">
      <c r="B165" s="1052" t="s">
        <v>1171</v>
      </c>
      <c r="C165" s="1052" t="s">
        <v>1171</v>
      </c>
      <c r="D165" s="1052" t="s">
        <v>519</v>
      </c>
      <c r="E165" s="653" t="s">
        <v>1151</v>
      </c>
      <c r="F165" s="814">
        <f>IF(E165="Direct",_xlfn.XLOOKUP(D165,'Input import'!B:B,'Input import'!D:D,""),_xlfn.XLOOKUP(D165,'Facilitatory data'!E:E,'Facilitatory data'!G:G,""))</f>
        <v>0</v>
      </c>
      <c r="G165" s="653" t="str">
        <f>IF(E165="Direct",_xlfn.XLOOKUP(D165,'Input import'!B:B,'Input import'!E:E,_xlfn.XLOOKUP(D165,'Input sheet format'!F:F,'Input sheet format'!I:I,"")),_xlfn.XLOOKUP(D165,'Facilitatory data'!E:E,'Facilitatory data'!H:H,""))</f>
        <v>litres</v>
      </c>
      <c r="H165" s="653">
        <v>1</v>
      </c>
      <c r="I165" s="653" t="s">
        <v>91</v>
      </c>
      <c r="J165" s="811">
        <v>1</v>
      </c>
      <c r="K165" s="653" t="s">
        <v>1153</v>
      </c>
      <c r="L165" s="653" t="s">
        <v>1687</v>
      </c>
      <c r="M165" s="1098" t="s">
        <v>1807</v>
      </c>
      <c r="N165" s="1098" t="s">
        <v>1807</v>
      </c>
      <c r="Q165" s="703">
        <f>'Emission factors - list'!D91</f>
        <v>0.04</v>
      </c>
      <c r="R165" s="653" t="str">
        <f>'Emission factors - list'!E91</f>
        <v>kg CO2-eq / L</v>
      </c>
      <c r="S165" s="961" t="b">
        <f t="shared" si="15"/>
        <v>1</v>
      </c>
      <c r="T165" s="816">
        <f t="shared" si="16"/>
        <v>0</v>
      </c>
      <c r="U165" s="816">
        <f>Table1[[#This Row],[Results 
(kg CO2-eq)]]/1000</f>
        <v>0</v>
      </c>
      <c r="V165" s="816">
        <f>IF(Table1[[#This Row],[Results incl. comp. (ton CO2-eq2]]&lt;0,Table1[[#This Row],[Results incl. comp. (ton CO2-eq2]],0)</f>
        <v>0</v>
      </c>
      <c r="W165" s="816">
        <f t="shared" si="17"/>
        <v>0</v>
      </c>
      <c r="X165" s="816">
        <f>Table1[[#This Row],[Results
(ton CO2-eq)]]</f>
        <v>0</v>
      </c>
    </row>
    <row r="166" spans="1:24">
      <c r="A166" s="1055"/>
      <c r="B166" s="1053" t="s">
        <v>1173</v>
      </c>
      <c r="C166" s="1053" t="s">
        <v>1174</v>
      </c>
      <c r="D166" s="1053" t="s">
        <v>523</v>
      </c>
      <c r="E166" s="653" t="s">
        <v>1151</v>
      </c>
      <c r="F166" s="814">
        <f>IF(E166="Direct",_xlfn.XLOOKUP(D166,'Input import'!B:B,'Input import'!D:D,""),_xlfn.XLOOKUP(D166,'Facilitatory data'!E:E,'Facilitatory data'!G:G,""))</f>
        <v>0</v>
      </c>
      <c r="G166" s="653" t="str">
        <f>IF(E166="Direct",_xlfn.XLOOKUP(D166,'Input import'!B:B,'Input import'!E:E,_xlfn.XLOOKUP(D166,'Input sheet format'!F:F,'Input sheet format'!I:I,"")),_xlfn.XLOOKUP(D166,'Facilitatory data'!E:E,'Facilitatory data'!H:H,""))</f>
        <v>amount</v>
      </c>
      <c r="H166" s="653">
        <v>1</v>
      </c>
      <c r="I166" s="653" t="s">
        <v>1175</v>
      </c>
      <c r="J166" s="811">
        <v>1</v>
      </c>
      <c r="K166" s="962" t="s">
        <v>1176</v>
      </c>
      <c r="L166" s="1034" t="s">
        <v>1688</v>
      </c>
      <c r="M166" s="1098" t="s">
        <v>1807</v>
      </c>
      <c r="N166" s="1098" t="s">
        <v>1807</v>
      </c>
      <c r="O166" s="851"/>
      <c r="P166" s="1097" t="s">
        <v>1175</v>
      </c>
      <c r="Q166" s="703">
        <v>0</v>
      </c>
      <c r="R166" s="653" t="str">
        <f>'Emission factors - list'!E108</f>
        <v>kg co2 / guest*night</v>
      </c>
      <c r="S166" s="961" t="b">
        <f t="shared" si="15"/>
        <v>1</v>
      </c>
      <c r="T166" s="816">
        <f t="shared" si="16"/>
        <v>0</v>
      </c>
      <c r="U166" s="816">
        <f>Table1[[#This Row],[Results 
(kg CO2-eq)]]/1000</f>
        <v>0</v>
      </c>
      <c r="V166" s="816">
        <f>IF(Table1[[#This Row],[Results incl. comp. (ton CO2-eq2]]&lt;0,Table1[[#This Row],[Results incl. comp. (ton CO2-eq2]],0)</f>
        <v>0</v>
      </c>
      <c r="W166" s="816">
        <f t="shared" si="17"/>
        <v>0</v>
      </c>
      <c r="X166" s="816">
        <f>Table1[[#This Row],[Results
(ton CO2-eq)]]</f>
        <v>0</v>
      </c>
    </row>
    <row r="167" spans="1:24">
      <c r="A167" s="1055"/>
      <c r="B167" s="1053" t="s">
        <v>1173</v>
      </c>
      <c r="C167" s="1053" t="s">
        <v>1177</v>
      </c>
      <c r="D167" s="1053" t="s">
        <v>526</v>
      </c>
      <c r="E167" s="653" t="s">
        <v>1151</v>
      </c>
      <c r="F167" s="814">
        <f>IF(E167="Direct",_xlfn.XLOOKUP(D167,'Input import'!B:B,'Input import'!D:D,""),_xlfn.XLOOKUP(D167,'Facilitatory data'!E:E,'Facilitatory data'!G:G,""))</f>
        <v>0</v>
      </c>
      <c r="G167" s="653" t="str">
        <f>IF(E167="Direct",_xlfn.XLOOKUP(D167,'Input import'!B:B,'Input import'!E:E,_xlfn.XLOOKUP(D167,'Input sheet format'!F:F,'Input sheet format'!I:I,"")),_xlfn.XLOOKUP(D167,'Facilitatory data'!E:E,'Facilitatory data'!H:H,""))</f>
        <v>amount</v>
      </c>
      <c r="H167" s="653">
        <v>1</v>
      </c>
      <c r="I167" s="653" t="s">
        <v>1175</v>
      </c>
      <c r="J167" s="811">
        <v>1</v>
      </c>
      <c r="K167" s="962" t="s">
        <v>1176</v>
      </c>
      <c r="L167" s="1034" t="s">
        <v>1689</v>
      </c>
      <c r="M167" s="1034" t="s">
        <v>1692</v>
      </c>
      <c r="N167" s="1098" t="s">
        <v>1807</v>
      </c>
      <c r="O167" s="851"/>
      <c r="P167" s="851"/>
      <c r="Q167" s="703">
        <f>'Emission factors - list'!D109</f>
        <v>0.99706664902147779</v>
      </c>
      <c r="R167" s="653" t="s">
        <v>1178</v>
      </c>
      <c r="S167" s="961" t="b">
        <f t="shared" si="15"/>
        <v>1</v>
      </c>
      <c r="T167" s="816">
        <f t="shared" si="16"/>
        <v>0</v>
      </c>
      <c r="U167" s="816">
        <f>Table1[[#This Row],[Results 
(kg CO2-eq)]]/1000</f>
        <v>0</v>
      </c>
      <c r="V167" s="816">
        <f>IF(Table1[[#This Row],[Results incl. comp. (ton CO2-eq2]]&lt;0,Table1[[#This Row],[Results incl. comp. (ton CO2-eq2]],0)</f>
        <v>0</v>
      </c>
      <c r="W167" s="816">
        <f t="shared" si="17"/>
        <v>0</v>
      </c>
      <c r="X167" s="816">
        <f>Table1[[#This Row],[Results
(ton CO2-eq)]]</f>
        <v>0</v>
      </c>
    </row>
    <row r="168" spans="1:24">
      <c r="A168" s="1055"/>
      <c r="B168" s="1053" t="s">
        <v>1173</v>
      </c>
      <c r="C168" s="1053" t="s">
        <v>1177</v>
      </c>
      <c r="D168" s="1053" t="s">
        <v>528</v>
      </c>
      <c r="E168" s="653" t="s">
        <v>1151</v>
      </c>
      <c r="F168" s="814">
        <f>IF(E168="Direct",_xlfn.XLOOKUP(D168,'Input import'!B:B,'Input import'!D:D,""),_xlfn.XLOOKUP(D168,'Facilitatory data'!E:E,'Facilitatory data'!G:G,""))</f>
        <v>0</v>
      </c>
      <c r="G168" s="653" t="str">
        <f>IF(E168="Direct",_xlfn.XLOOKUP(D168,'Input import'!B:B,'Input import'!E:E,_xlfn.XLOOKUP(D168,'Input sheet format'!F:F,'Input sheet format'!I:I,"")),_xlfn.XLOOKUP(D168,'Facilitatory data'!E:E,'Facilitatory data'!H:H,""))</f>
        <v>amount</v>
      </c>
      <c r="H168" s="653">
        <v>1</v>
      </c>
      <c r="I168" s="653" t="s">
        <v>1175</v>
      </c>
      <c r="J168" s="811">
        <v>1</v>
      </c>
      <c r="K168" s="962" t="s">
        <v>1176</v>
      </c>
      <c r="L168" s="1034" t="s">
        <v>1689</v>
      </c>
      <c r="M168" s="1034" t="s">
        <v>1676</v>
      </c>
      <c r="N168" s="1098" t="s">
        <v>1807</v>
      </c>
      <c r="O168" s="851"/>
      <c r="P168" s="851"/>
      <c r="Q168" s="703">
        <f>Q167/2</f>
        <v>0.4985333245107389</v>
      </c>
      <c r="R168" s="653" t="s">
        <v>1178</v>
      </c>
      <c r="S168" s="961" t="b">
        <f t="shared" si="15"/>
        <v>1</v>
      </c>
      <c r="T168" s="816">
        <f t="shared" si="16"/>
        <v>0</v>
      </c>
      <c r="U168" s="816">
        <f>Table1[[#This Row],[Results 
(kg CO2-eq)]]/1000</f>
        <v>0</v>
      </c>
      <c r="V168" s="816">
        <f>IF(Table1[[#This Row],[Results incl. comp. (ton CO2-eq2]]&lt;0,Table1[[#This Row],[Results incl. comp. (ton CO2-eq2]],0)</f>
        <v>0</v>
      </c>
      <c r="W168" s="816">
        <f t="shared" si="17"/>
        <v>0</v>
      </c>
      <c r="X168" s="816">
        <f>Table1[[#This Row],[Results
(ton CO2-eq)]]</f>
        <v>0</v>
      </c>
    </row>
    <row r="169" spans="1:24">
      <c r="A169" s="1055"/>
      <c r="B169" s="1053" t="s">
        <v>1173</v>
      </c>
      <c r="C169" s="1053" t="s">
        <v>1177</v>
      </c>
      <c r="D169" s="1053" t="s">
        <v>530</v>
      </c>
      <c r="E169" s="653" t="s">
        <v>1151</v>
      </c>
      <c r="F169" s="814">
        <f>IF(E169="Direct",_xlfn.XLOOKUP(D169,'Input import'!B:B,'Input import'!D:D,""),_xlfn.XLOOKUP(D169,'Facilitatory data'!E:E,'Facilitatory data'!G:G,""))</f>
        <v>0</v>
      </c>
      <c r="G169" s="653" t="str">
        <f>IF(E169="Direct",_xlfn.XLOOKUP(D169,'Input import'!B:B,'Input import'!E:E,_xlfn.XLOOKUP(D169,'Input sheet format'!F:F,'Input sheet format'!I:I,"")),_xlfn.XLOOKUP(D169,'Facilitatory data'!E:E,'Facilitatory data'!H:H,""))</f>
        <v>amount</v>
      </c>
      <c r="H169" s="653">
        <v>1</v>
      </c>
      <c r="I169" s="653" t="s">
        <v>1175</v>
      </c>
      <c r="J169" s="811">
        <v>1</v>
      </c>
      <c r="K169" s="962" t="s">
        <v>1176</v>
      </c>
      <c r="L169" s="1034" t="s">
        <v>1689</v>
      </c>
      <c r="M169" s="1034" t="s">
        <v>1690</v>
      </c>
      <c r="N169" s="1098" t="s">
        <v>1807</v>
      </c>
      <c r="O169" s="851"/>
      <c r="P169" s="851"/>
      <c r="Q169" s="703">
        <v>0</v>
      </c>
      <c r="R169" s="653" t="s">
        <v>1178</v>
      </c>
      <c r="S169" s="961" t="b">
        <f t="shared" si="15"/>
        <v>1</v>
      </c>
      <c r="T169" s="816">
        <f t="shared" si="16"/>
        <v>0</v>
      </c>
      <c r="U169" s="816">
        <f>Table1[[#This Row],[Results 
(kg CO2-eq)]]/1000</f>
        <v>0</v>
      </c>
      <c r="V169" s="816">
        <f>IF(Table1[[#This Row],[Results incl. comp. (ton CO2-eq2]]&lt;0,Table1[[#This Row],[Results incl. comp. (ton CO2-eq2]],0)</f>
        <v>0</v>
      </c>
      <c r="W169" s="816">
        <f t="shared" si="17"/>
        <v>0</v>
      </c>
      <c r="X169" s="816">
        <f>Table1[[#This Row],[Results
(ton CO2-eq)]]</f>
        <v>0</v>
      </c>
    </row>
    <row r="170" spans="1:24">
      <c r="A170" s="1055"/>
      <c r="B170" s="1053" t="s">
        <v>1173</v>
      </c>
      <c r="C170" s="1053" t="s">
        <v>1177</v>
      </c>
      <c r="D170" s="1053" t="s">
        <v>532</v>
      </c>
      <c r="E170" s="653" t="s">
        <v>1151</v>
      </c>
      <c r="F170" s="814">
        <f>IF(E170="Direct",_xlfn.XLOOKUP(D170,'Input import'!B:B,'Input import'!D:D,""),_xlfn.XLOOKUP(D170,'Facilitatory data'!E:E,'Facilitatory data'!G:G,""))</f>
        <v>0</v>
      </c>
      <c r="G170" s="653" t="str">
        <f>IF(E170="Direct",_xlfn.XLOOKUP(D170,'Input import'!B:B,'Input import'!E:E,_xlfn.XLOOKUP(D170,'Input sheet format'!F:F,'Input sheet format'!I:I,"")),_xlfn.XLOOKUP(D170,'Facilitatory data'!E:E,'Facilitatory data'!H:H,""))</f>
        <v>amount</v>
      </c>
      <c r="H170" s="653">
        <v>1</v>
      </c>
      <c r="I170" s="653" t="s">
        <v>1175</v>
      </c>
      <c r="J170" s="811">
        <v>1</v>
      </c>
      <c r="K170" s="962" t="s">
        <v>1176</v>
      </c>
      <c r="L170" s="1034" t="s">
        <v>1691</v>
      </c>
      <c r="M170" s="1034" t="s">
        <v>1692</v>
      </c>
      <c r="N170" s="1098" t="s">
        <v>1807</v>
      </c>
      <c r="O170" s="851"/>
      <c r="P170" s="851"/>
      <c r="Q170" s="703">
        <f>'Emission factors - list'!D107</f>
        <v>5.6126399940970497</v>
      </c>
      <c r="R170" s="653" t="s">
        <v>1178</v>
      </c>
      <c r="S170" s="961" t="b">
        <f t="shared" si="15"/>
        <v>1</v>
      </c>
      <c r="T170" s="816">
        <f t="shared" si="16"/>
        <v>0</v>
      </c>
      <c r="U170" s="816">
        <f>Table1[[#This Row],[Results 
(kg CO2-eq)]]/1000</f>
        <v>0</v>
      </c>
      <c r="V170" s="816">
        <f>IF(Table1[[#This Row],[Results incl. comp. (ton CO2-eq2]]&lt;0,Table1[[#This Row],[Results incl. comp. (ton CO2-eq2]],0)</f>
        <v>0</v>
      </c>
      <c r="W170" s="816">
        <f t="shared" si="17"/>
        <v>0</v>
      </c>
      <c r="X170" s="816">
        <f>Table1[[#This Row],[Results
(ton CO2-eq)]]</f>
        <v>0</v>
      </c>
    </row>
    <row r="171" spans="1:24">
      <c r="A171" s="1055"/>
      <c r="B171" s="1053" t="s">
        <v>1173</v>
      </c>
      <c r="C171" s="1053" t="s">
        <v>1177</v>
      </c>
      <c r="D171" s="1053" t="s">
        <v>534</v>
      </c>
      <c r="E171" s="653" t="s">
        <v>1151</v>
      </c>
      <c r="F171" s="814">
        <f>IF(E171="Direct",_xlfn.XLOOKUP(D171,'Input import'!B:B,'Input import'!D:D,""),_xlfn.XLOOKUP(D171,'Facilitatory data'!E:E,'Facilitatory data'!G:G,""))</f>
        <v>0</v>
      </c>
      <c r="G171" s="653" t="str">
        <f>IF(E171="Direct",_xlfn.XLOOKUP(D171,'Input import'!B:B,'Input import'!E:E,_xlfn.XLOOKUP(D171,'Input sheet format'!F:F,'Input sheet format'!I:I,"")),_xlfn.XLOOKUP(D171,'Facilitatory data'!E:E,'Facilitatory data'!H:H,""))</f>
        <v>amount</v>
      </c>
      <c r="H171" s="653">
        <v>1</v>
      </c>
      <c r="I171" s="653" t="s">
        <v>1175</v>
      </c>
      <c r="J171" s="811">
        <v>1</v>
      </c>
      <c r="K171" s="962" t="s">
        <v>1176</v>
      </c>
      <c r="L171" s="1034" t="s">
        <v>1691</v>
      </c>
      <c r="M171" s="1034" t="s">
        <v>1676</v>
      </c>
      <c r="N171" s="1098" t="s">
        <v>1807</v>
      </c>
      <c r="O171" s="851"/>
      <c r="P171" s="851"/>
      <c r="Q171" s="703">
        <f>Q170/2</f>
        <v>2.8063199970485249</v>
      </c>
      <c r="R171" s="653" t="s">
        <v>1178</v>
      </c>
      <c r="S171" s="961" t="b">
        <f t="shared" ref="S171:S177" si="18">IFERROR(_xlfn.TEXTAFTER(R171,"/ ")=K171,"")</f>
        <v>1</v>
      </c>
      <c r="T171" s="816">
        <f t="shared" ref="T171:T177" si="19">IFERROR(F171*H171*J171*Q171,"Error")</f>
        <v>0</v>
      </c>
      <c r="U171" s="816">
        <f>Table1[[#This Row],[Results 
(kg CO2-eq)]]/1000</f>
        <v>0</v>
      </c>
      <c r="V171" s="816">
        <f>IF(Table1[[#This Row],[Results incl. comp. (ton CO2-eq2]]&lt;0,Table1[[#This Row],[Results incl. comp. (ton CO2-eq2]],0)</f>
        <v>0</v>
      </c>
      <c r="W171" s="816">
        <f t="shared" ref="W171:W178" si="20">IFERROR(F171*H171*J171*Q171,"Error")</f>
        <v>0</v>
      </c>
      <c r="X171" s="816">
        <f>Table1[[#This Row],[Results
(ton CO2-eq)]]</f>
        <v>0</v>
      </c>
    </row>
    <row r="172" spans="1:24">
      <c r="A172" s="1055"/>
      <c r="B172" s="1053" t="s">
        <v>1173</v>
      </c>
      <c r="C172" s="1053" t="s">
        <v>1177</v>
      </c>
      <c r="D172" s="1053" t="s">
        <v>536</v>
      </c>
      <c r="E172" s="653" t="s">
        <v>1151</v>
      </c>
      <c r="F172" s="814">
        <f>IF(E172="Direct",_xlfn.XLOOKUP(D172,'Input import'!B:B,'Input import'!D:D,""),_xlfn.XLOOKUP(D172,'Facilitatory data'!E:E,'Facilitatory data'!G:G,""))</f>
        <v>0</v>
      </c>
      <c r="G172" s="653" t="str">
        <f>IF(E172="Direct",_xlfn.XLOOKUP(D172,'Input import'!B:B,'Input import'!E:E,_xlfn.XLOOKUP(D172,'Input sheet format'!F:F,'Input sheet format'!I:I,"")),_xlfn.XLOOKUP(D172,'Facilitatory data'!E:E,'Facilitatory data'!H:H,""))</f>
        <v>amount</v>
      </c>
      <c r="H172" s="653">
        <v>1</v>
      </c>
      <c r="I172" s="653" t="s">
        <v>1175</v>
      </c>
      <c r="J172" s="811">
        <v>1</v>
      </c>
      <c r="K172" s="962" t="s">
        <v>1176</v>
      </c>
      <c r="L172" s="1034" t="s">
        <v>1691</v>
      </c>
      <c r="M172" s="1034" t="s">
        <v>1690</v>
      </c>
      <c r="N172" s="1098" t="s">
        <v>1807</v>
      </c>
      <c r="O172" s="851"/>
      <c r="P172" s="851"/>
      <c r="Q172" s="703">
        <v>0</v>
      </c>
      <c r="R172" s="653" t="s">
        <v>1178</v>
      </c>
      <c r="S172" s="961" t="b">
        <f t="shared" si="18"/>
        <v>1</v>
      </c>
      <c r="T172" s="816">
        <f t="shared" si="19"/>
        <v>0</v>
      </c>
      <c r="U172" s="816">
        <f>Table1[[#This Row],[Results 
(kg CO2-eq)]]/1000</f>
        <v>0</v>
      </c>
      <c r="V172" s="816">
        <f>IF(Table1[[#This Row],[Results incl. comp. (ton CO2-eq2]]&lt;0,Table1[[#This Row],[Results incl. comp. (ton CO2-eq2]],0)</f>
        <v>0</v>
      </c>
      <c r="W172" s="816">
        <f t="shared" si="20"/>
        <v>0</v>
      </c>
      <c r="X172" s="816">
        <f>Table1[[#This Row],[Results
(ton CO2-eq)]]</f>
        <v>0</v>
      </c>
    </row>
    <row r="173" spans="1:24">
      <c r="A173" s="1055"/>
      <c r="B173" s="1054" t="s">
        <v>1179</v>
      </c>
      <c r="C173" s="1054" t="s">
        <v>1654</v>
      </c>
      <c r="D173" s="1054" t="s">
        <v>543</v>
      </c>
      <c r="E173" s="653" t="s">
        <v>1151</v>
      </c>
      <c r="F173" s="814">
        <f>IF(E173="Direct",_xlfn.XLOOKUP(D173,'Input import'!B:B,'Input import'!D:D,""),_xlfn.XLOOKUP(D173,'Facilitatory data'!E:E,'Facilitatory data'!G:G,""))</f>
        <v>0</v>
      </c>
      <c r="G173" s="653" t="str">
        <f>IF(E173="Direct",_xlfn.XLOOKUP(D173,'Input import'!B:B,'Input import'!E:E,_xlfn.XLOOKUP(D173,'Input sheet format'!F:F,'Input sheet format'!I:I,"")),_xlfn.XLOOKUP(D173,'Facilitatory data'!E:E,'Facilitatory data'!H:H,""))</f>
        <v>number of views</v>
      </c>
      <c r="H173" s="653">
        <v>1</v>
      </c>
      <c r="I173" s="653" t="s">
        <v>544</v>
      </c>
      <c r="J173" s="810">
        <v>1</v>
      </c>
      <c r="K173" s="962" t="s">
        <v>1180</v>
      </c>
      <c r="L173" s="1034" t="s">
        <v>1654</v>
      </c>
      <c r="M173" s="1098" t="s">
        <v>1807</v>
      </c>
      <c r="N173" s="1098" t="s">
        <v>1807</v>
      </c>
      <c r="O173" s="851"/>
      <c r="P173" s="1097" t="s">
        <v>1184</v>
      </c>
      <c r="Q173" s="703">
        <f>'Input import'!D260/1000</f>
        <v>0</v>
      </c>
      <c r="R173" s="966" t="s">
        <v>1181</v>
      </c>
      <c r="S173" s="961" t="b">
        <f t="shared" si="18"/>
        <v>1</v>
      </c>
      <c r="T173" s="816">
        <f t="shared" si="19"/>
        <v>0</v>
      </c>
      <c r="U173" s="816">
        <f>Table1[[#This Row],[Results 
(kg CO2-eq)]]/1000</f>
        <v>0</v>
      </c>
      <c r="V173" s="816">
        <f>IF(Table1[[#This Row],[Results incl. comp. (ton CO2-eq2]]&lt;0,Table1[[#This Row],[Results incl. comp. (ton CO2-eq2]],0)</f>
        <v>0</v>
      </c>
      <c r="W173" s="816">
        <f t="shared" si="20"/>
        <v>0</v>
      </c>
      <c r="X173" s="816">
        <f>Table1[[#This Row],[Results
(ton CO2-eq)]]</f>
        <v>0</v>
      </c>
    </row>
    <row r="174" spans="1:24">
      <c r="A174" s="1055"/>
      <c r="B174" s="1054" t="s">
        <v>1179</v>
      </c>
      <c r="C174" s="1054" t="s">
        <v>1655</v>
      </c>
      <c r="D174" s="1054" t="s">
        <v>546</v>
      </c>
      <c r="E174" s="653" t="s">
        <v>1151</v>
      </c>
      <c r="F174" s="814">
        <f>IF(E174="Direct",_xlfn.XLOOKUP(D174,'Input import'!B:B,'Input import'!D:D,""),_xlfn.XLOOKUP(D174,'Facilitatory data'!E:E,'Facilitatory data'!G:G,""))</f>
        <v>0</v>
      </c>
      <c r="G174" s="653" t="str">
        <f>IF(E174="Direct",_xlfn.XLOOKUP(D174,'Input import'!B:B,'Input import'!E:E,_xlfn.XLOOKUP(D174,'Input sheet format'!F:F,'Input sheet format'!I:I,"")),_xlfn.XLOOKUP(D174,'Facilitatory data'!E:E,'Facilitatory data'!H:H,""))</f>
        <v>nr emails sent</v>
      </c>
      <c r="H174" s="653">
        <v>1</v>
      </c>
      <c r="I174" s="653" t="s">
        <v>547</v>
      </c>
      <c r="J174" s="810">
        <v>1</v>
      </c>
      <c r="K174" s="962" t="s">
        <v>1182</v>
      </c>
      <c r="L174" s="1034" t="s">
        <v>1655</v>
      </c>
      <c r="M174" s="1098" t="s">
        <v>1807</v>
      </c>
      <c r="N174" s="1098" t="s">
        <v>1807</v>
      </c>
      <c r="O174" s="851"/>
      <c r="P174" s="1097" t="s">
        <v>1184</v>
      </c>
      <c r="Q174" s="703">
        <f>'Emission factors - list'!D118</f>
        <v>4.0448096660530648E-6</v>
      </c>
      <c r="R174" s="703" t="str">
        <f>'Emission factors - list'!E118</f>
        <v>kg CO2-eq / email</v>
      </c>
      <c r="S174" s="961" t="b">
        <f t="shared" si="18"/>
        <v>1</v>
      </c>
      <c r="T174" s="816">
        <f t="shared" si="19"/>
        <v>0</v>
      </c>
      <c r="U174" s="816">
        <f>Table1[[#This Row],[Results 
(kg CO2-eq)]]/1000</f>
        <v>0</v>
      </c>
      <c r="V174" s="816">
        <f>IF(Table1[[#This Row],[Results incl. comp. (ton CO2-eq2]]&lt;0,Table1[[#This Row],[Results incl. comp. (ton CO2-eq2]],0)</f>
        <v>0</v>
      </c>
      <c r="W174" s="816">
        <f t="shared" si="20"/>
        <v>0</v>
      </c>
      <c r="X174" s="816">
        <f>Table1[[#This Row],[Results
(ton CO2-eq)]]</f>
        <v>0</v>
      </c>
    </row>
    <row r="175" spans="1:24">
      <c r="A175" s="1055"/>
      <c r="B175" s="1054" t="s">
        <v>1179</v>
      </c>
      <c r="C175" s="1054" t="s">
        <v>1656</v>
      </c>
      <c r="D175" s="1054" t="s">
        <v>549</v>
      </c>
      <c r="E175" s="653" t="s">
        <v>1151</v>
      </c>
      <c r="F175" s="814">
        <f>IF(E175="Direct",_xlfn.XLOOKUP(D175,'Input import'!B:B,'Input import'!D:D,""),_xlfn.XLOOKUP(D175,'Facilitatory data'!E:E,'Facilitatory data'!G:G,""))</f>
        <v>0</v>
      </c>
      <c r="G175" s="653" t="str">
        <f>IF(E175="Direct",_xlfn.XLOOKUP(D175,'Input import'!B:B,'Input import'!E:E,_xlfn.XLOOKUP(D175,'Input sheet format'!F:F,'Input sheet format'!I:I,"")),_xlfn.XLOOKUP(D175,'Facilitatory data'!E:E,'Facilitatory data'!H:H,""))</f>
        <v>nr app sessions</v>
      </c>
      <c r="H175" s="653">
        <v>1</v>
      </c>
      <c r="I175" s="653" t="s">
        <v>550</v>
      </c>
      <c r="J175" s="810">
        <v>1</v>
      </c>
      <c r="K175" s="962" t="s">
        <v>1183</v>
      </c>
      <c r="L175" s="1034" t="s">
        <v>1656</v>
      </c>
      <c r="M175" s="1098" t="s">
        <v>1807</v>
      </c>
      <c r="N175" s="1098" t="s">
        <v>1807</v>
      </c>
      <c r="O175" s="851"/>
      <c r="P175" s="1097" t="s">
        <v>1184</v>
      </c>
      <c r="Q175" s="703">
        <f>'Emission factors - list'!D119</f>
        <v>8.08961933210613E-5</v>
      </c>
      <c r="R175" s="703" t="str">
        <f>'Emission factors - list'!E119</f>
        <v>kg CO2-eq/ app session</v>
      </c>
      <c r="S175" s="961" t="b">
        <f t="shared" si="18"/>
        <v>1</v>
      </c>
      <c r="T175" s="816">
        <f t="shared" si="19"/>
        <v>0</v>
      </c>
      <c r="U175" s="816">
        <f>Table1[[#This Row],[Results 
(kg CO2-eq)]]/1000</f>
        <v>0</v>
      </c>
      <c r="V175" s="816">
        <f>IF(Table1[[#This Row],[Results incl. comp. (ton CO2-eq2]]&lt;0,Table1[[#This Row],[Results incl. comp. (ton CO2-eq2]],0)</f>
        <v>0</v>
      </c>
      <c r="W175" s="816">
        <f t="shared" si="20"/>
        <v>0</v>
      </c>
      <c r="X175" s="816">
        <f>Table1[[#This Row],[Results
(ton CO2-eq)]]</f>
        <v>0</v>
      </c>
    </row>
    <row r="176" spans="1:24">
      <c r="A176" s="1055"/>
      <c r="B176" s="1054" t="s">
        <v>1179</v>
      </c>
      <c r="C176" s="1054" t="s">
        <v>1489</v>
      </c>
      <c r="D176" s="1054" t="s">
        <v>552</v>
      </c>
      <c r="E176" s="653" t="s">
        <v>1151</v>
      </c>
      <c r="F176" s="814">
        <f>IF(E176="Direct",_xlfn.XLOOKUP(D176,'Input import'!B:B,'Input import'!D:D,""),_xlfn.XLOOKUP(D176,'Facilitatory data'!E:E,'Facilitatory data'!G:G,""))</f>
        <v>0</v>
      </c>
      <c r="G176" s="653" t="str">
        <f>IF(E176="Direct",_xlfn.XLOOKUP(D176,'Input import'!B:B,'Input import'!E:E,_xlfn.XLOOKUP(D176,'Input sheet format'!F:F,'Input sheet format'!I:I,"")),_xlfn.XLOOKUP(D176,'Facilitatory data'!E:E,'Facilitatory data'!H:H,""))</f>
        <v>nr of views</v>
      </c>
      <c r="H176" s="653">
        <v>1</v>
      </c>
      <c r="I176" s="653" t="s">
        <v>553</v>
      </c>
      <c r="J176" s="810">
        <v>1</v>
      </c>
      <c r="K176" s="962" t="s">
        <v>1180</v>
      </c>
      <c r="L176" s="1034" t="s">
        <v>1489</v>
      </c>
      <c r="M176" s="1098" t="s">
        <v>1807</v>
      </c>
      <c r="N176" s="1098" t="s">
        <v>1807</v>
      </c>
      <c r="O176" s="851"/>
      <c r="P176" s="1097" t="s">
        <v>1184</v>
      </c>
      <c r="Q176" s="703">
        <f>'Emission factors - list'!D120</f>
        <v>1.1145697746457335E-4</v>
      </c>
      <c r="R176" s="703" t="str">
        <f>'Emission factors - list'!E120</f>
        <v>kg CO2-eq/ view</v>
      </c>
      <c r="S176" s="961" t="b">
        <f t="shared" si="18"/>
        <v>1</v>
      </c>
      <c r="T176" s="816">
        <f t="shared" si="19"/>
        <v>0</v>
      </c>
      <c r="U176" s="816">
        <f>Table1[[#This Row],[Results 
(kg CO2-eq)]]/1000</f>
        <v>0</v>
      </c>
      <c r="V176" s="816">
        <f>IF(Table1[[#This Row],[Results incl. comp. (ton CO2-eq2]]&lt;0,Table1[[#This Row],[Results incl. comp. (ton CO2-eq2]],0)</f>
        <v>0</v>
      </c>
      <c r="W176" s="816">
        <f t="shared" si="20"/>
        <v>0</v>
      </c>
      <c r="X176" s="816">
        <f>Table1[[#This Row],[Results
(ton CO2-eq)]]</f>
        <v>0</v>
      </c>
    </row>
    <row r="177" spans="1:25" s="820" customFormat="1">
      <c r="A177" s="1055"/>
      <c r="B177" s="1054" t="s">
        <v>1179</v>
      </c>
      <c r="C177" s="1054" t="s">
        <v>1657</v>
      </c>
      <c r="D177" s="1054" t="s">
        <v>555</v>
      </c>
      <c r="E177" s="653" t="s">
        <v>1151</v>
      </c>
      <c r="F177" s="814">
        <f>IF(E177="Direct",_xlfn.XLOOKUP(D177,'Input import'!B:B,'Input import'!D:D,""),_xlfn.XLOOKUP(D177,'Facilitatory data'!E:E,'Facilitatory data'!G:G,""))</f>
        <v>0</v>
      </c>
      <c r="G177" s="653" t="str">
        <f>IF(E177="Direct",_xlfn.XLOOKUP(D177,'Input import'!B:B,'Input import'!E:E,_xlfn.XLOOKUP(D177,'Input sheet format'!F:F,'Input sheet format'!I:I,"")),_xlfn.XLOOKUP(D177,'Facilitatory data'!E:E,'Facilitatory data'!H:H,""))</f>
        <v>data GB</v>
      </c>
      <c r="H177" s="653">
        <v>1</v>
      </c>
      <c r="I177" s="962" t="s">
        <v>1184</v>
      </c>
      <c r="J177" s="810">
        <f>'EF-background info'!$F$183</f>
        <v>1</v>
      </c>
      <c r="K177" s="962" t="s">
        <v>1184</v>
      </c>
      <c r="L177" s="1034" t="s">
        <v>1657</v>
      </c>
      <c r="M177" s="1098" t="s">
        <v>1807</v>
      </c>
      <c r="N177" s="1098" t="s">
        <v>1807</v>
      </c>
      <c r="O177" s="851"/>
      <c r="P177" s="1097" t="s">
        <v>1184</v>
      </c>
      <c r="Q177" s="703">
        <f>'Emission factors - list'!D121</f>
        <v>2.6965397773687099E-2</v>
      </c>
      <c r="R177" s="653" t="s">
        <v>1185</v>
      </c>
      <c r="S177" s="961" t="b">
        <f t="shared" si="18"/>
        <v>1</v>
      </c>
      <c r="T177" s="816">
        <f t="shared" si="19"/>
        <v>0</v>
      </c>
      <c r="U177" s="816">
        <f>Table1[[#This Row],[Results 
(kg CO2-eq)]]/1000</f>
        <v>0</v>
      </c>
      <c r="V177" s="816">
        <f>IF(Table1[[#This Row],[Results incl. comp. (ton CO2-eq2]]&lt;0,Table1[[#This Row],[Results incl. comp. (ton CO2-eq2]],0)</f>
        <v>0</v>
      </c>
      <c r="W177" s="816">
        <f t="shared" si="20"/>
        <v>0</v>
      </c>
      <c r="X177" s="816">
        <f>Table1[[#This Row],[Results
(ton CO2-eq)]]</f>
        <v>0</v>
      </c>
      <c r="Y177" s="653"/>
    </row>
    <row r="178" spans="1:25" ht="21">
      <c r="A178" s="158"/>
      <c r="B178" s="1101" t="s">
        <v>559</v>
      </c>
      <c r="C178" s="1101" t="s">
        <v>559</v>
      </c>
      <c r="D178" s="1101" t="s">
        <v>559</v>
      </c>
      <c r="E178" s="653" t="s">
        <v>1151</v>
      </c>
      <c r="F178" s="814">
        <f>IF(E178="Direct",_xlfn.XLOOKUP(D178,'Input import'!B:B,'Input import'!D:D,""),_xlfn.XLOOKUP(D178,'Facilitatory data'!E:E,'Facilitatory data'!G:G,""))</f>
        <v>0</v>
      </c>
      <c r="G178" s="653" t="str">
        <f>IF(E178="Direct",_xlfn.XLOOKUP(D178,'Input import'!B:B,'Input import'!E:E,_xlfn.XLOOKUP(D178,'Input sheet format'!F:F,'Input sheet format'!I:I,"")),_xlfn.XLOOKUP(D178,'Facilitatory data'!E:E,'Facilitatory data'!H:H,""))</f>
        <v>tonnes CO2e</v>
      </c>
      <c r="H178" s="653">
        <v>1</v>
      </c>
      <c r="I178" s="1098" t="s">
        <v>386</v>
      </c>
      <c r="J178" s="1096">
        <v>1000</v>
      </c>
      <c r="K178" s="1098" t="s">
        <v>1719</v>
      </c>
      <c r="L178" s="1098" t="s">
        <v>559</v>
      </c>
      <c r="M178" s="1098" t="s">
        <v>1807</v>
      </c>
      <c r="N178" s="1098" t="s">
        <v>1807</v>
      </c>
      <c r="O178" s="1097"/>
      <c r="P178" s="1097"/>
      <c r="Q178" s="703">
        <v>-1</v>
      </c>
      <c r="R178" s="1099" t="s">
        <v>1720</v>
      </c>
      <c r="S178" s="961" t="b">
        <f>IFERROR(_xlfn.TEXTAFTER(R178,"/ ")=K178,"")</f>
        <v>1</v>
      </c>
      <c r="U178" s="816"/>
      <c r="V178" s="816">
        <f>IF(Table1[[#This Row],[Results incl. comp. (ton CO2-eq2]]&lt;0,Table1[[#This Row],[Results incl. comp. (ton CO2-eq2]],0)</f>
        <v>0</v>
      </c>
      <c r="W178" s="816">
        <f t="shared" si="20"/>
        <v>0</v>
      </c>
      <c r="X178" s="816">
        <f t="shared" ref="X178" si="21">IFERROR(F178*H178*J178*Q178/1000,"Error")</f>
        <v>0</v>
      </c>
    </row>
    <row r="179" spans="1:25">
      <c r="A179" s="1055"/>
      <c r="D179" s="653"/>
      <c r="G179" s="653"/>
    </row>
    <row r="180" spans="1:25" hidden="1">
      <c r="A180" s="1055"/>
      <c r="D180" s="653"/>
      <c r="G180" s="653"/>
    </row>
    <row r="181" spans="1:25" hidden="1">
      <c r="A181" s="1055"/>
      <c r="D181" s="653"/>
      <c r="G181" s="653"/>
    </row>
    <row r="182" spans="1:25" hidden="1">
      <c r="A182" s="1055"/>
      <c r="D182" s="653"/>
      <c r="G182" s="653"/>
    </row>
    <row r="183" spans="1:25" hidden="1">
      <c r="A183" s="1055"/>
      <c r="D183" s="653"/>
      <c r="G183" s="653"/>
    </row>
    <row r="184" spans="1:25" hidden="1">
      <c r="A184" s="1055"/>
      <c r="D184" s="653"/>
      <c r="G184" s="653"/>
    </row>
    <row r="185" spans="1:25" hidden="1">
      <c r="A185" s="1055"/>
      <c r="D185" s="653"/>
      <c r="G185" s="653"/>
    </row>
    <row r="186" spans="1:25" hidden="1">
      <c r="A186" s="1055"/>
      <c r="D186" s="653"/>
      <c r="G186" s="653"/>
    </row>
    <row r="187" spans="1:25" hidden="1">
      <c r="A187" s="1055"/>
      <c r="D187" s="653"/>
      <c r="G187" s="653"/>
    </row>
    <row r="188" spans="1:25" hidden="1">
      <c r="A188" s="1055"/>
      <c r="D188" s="653"/>
      <c r="G188" s="653"/>
    </row>
    <row r="189" spans="1:25" hidden="1">
      <c r="A189" s="1055"/>
      <c r="D189" s="653"/>
      <c r="G189" s="653"/>
    </row>
    <row r="190" spans="1:25" hidden="1">
      <c r="A190" s="1055"/>
      <c r="D190" s="653"/>
      <c r="G190" s="653"/>
    </row>
    <row r="191" spans="1:25" hidden="1">
      <c r="A191" s="1055"/>
      <c r="D191" s="653"/>
      <c r="G191" s="653"/>
    </row>
    <row r="192" spans="1:25" hidden="1">
      <c r="A192" s="1055"/>
      <c r="D192" s="653"/>
      <c r="G192" s="653"/>
    </row>
    <row r="193" spans="1:7" hidden="1">
      <c r="A193" s="1055"/>
      <c r="D193" s="653"/>
      <c r="G193" s="653"/>
    </row>
    <row r="194" spans="1:7" hidden="1">
      <c r="A194" s="1055"/>
      <c r="D194" s="653"/>
      <c r="G194" s="653"/>
    </row>
    <row r="195" spans="1:7" hidden="1">
      <c r="A195" s="1055"/>
      <c r="D195" s="653"/>
      <c r="G195" s="653"/>
    </row>
    <row r="196" spans="1:7" hidden="1">
      <c r="A196" s="1055"/>
      <c r="D196" s="653"/>
      <c r="G196" s="653"/>
    </row>
    <row r="197" spans="1:7" hidden="1">
      <c r="A197" s="1055"/>
      <c r="D197" s="653"/>
      <c r="G197" s="653"/>
    </row>
    <row r="198" spans="1:7" hidden="1">
      <c r="A198" s="1055"/>
      <c r="D198" s="653"/>
      <c r="G198" s="653"/>
    </row>
    <row r="199" spans="1:7" hidden="1">
      <c r="A199" s="1055"/>
      <c r="D199" s="653"/>
      <c r="G199" s="653"/>
    </row>
    <row r="200" spans="1:7" hidden="1">
      <c r="A200" s="1055"/>
      <c r="D200" s="653"/>
      <c r="G200" s="653"/>
    </row>
    <row r="201" spans="1:7" hidden="1">
      <c r="A201" s="1055"/>
      <c r="D201" s="653"/>
      <c r="G201" s="653"/>
    </row>
    <row r="202" spans="1:7" hidden="1">
      <c r="A202" s="1055"/>
      <c r="D202" s="653"/>
      <c r="G202" s="653"/>
    </row>
    <row r="203" spans="1:7" hidden="1">
      <c r="A203" s="1055"/>
      <c r="D203" s="653"/>
      <c r="G203" s="653"/>
    </row>
    <row r="204" spans="1:7" hidden="1">
      <c r="A204" s="1055"/>
      <c r="D204" s="653"/>
      <c r="G204" s="653"/>
    </row>
    <row r="205" spans="1:7" ht="19" hidden="1">
      <c r="A205" s="159"/>
      <c r="D205" s="653"/>
      <c r="G205" s="653"/>
    </row>
    <row r="206" spans="1:7" hidden="1">
      <c r="A206" s="1055"/>
      <c r="D206" s="653"/>
      <c r="G206" s="653"/>
    </row>
    <row r="207" spans="1:7" hidden="1">
      <c r="A207" s="1055"/>
      <c r="D207" s="653"/>
      <c r="G207" s="653"/>
    </row>
    <row r="208" spans="1:7" ht="19" hidden="1">
      <c r="A208" s="159"/>
      <c r="D208" s="653"/>
      <c r="G208" s="653"/>
    </row>
    <row r="209" spans="1:7" hidden="1">
      <c r="A209" s="1055"/>
      <c r="D209" s="653"/>
      <c r="G209" s="653"/>
    </row>
    <row r="210" spans="1:7" hidden="1">
      <c r="A210" s="1055"/>
      <c r="D210" s="653"/>
      <c r="G210" s="653"/>
    </row>
    <row r="211" spans="1:7" hidden="1">
      <c r="A211" s="1055"/>
      <c r="D211" s="653"/>
      <c r="G211" s="653"/>
    </row>
    <row r="212" spans="1:7" hidden="1">
      <c r="A212" s="1055"/>
      <c r="D212" s="653"/>
      <c r="G212" s="653"/>
    </row>
    <row r="213" spans="1:7" hidden="1">
      <c r="A213" s="1055"/>
      <c r="D213" s="653"/>
      <c r="G213" s="653"/>
    </row>
    <row r="214" spans="1:7" hidden="1">
      <c r="A214" s="1055"/>
      <c r="D214" s="653"/>
      <c r="G214" s="653"/>
    </row>
    <row r="215" spans="1:7" hidden="1">
      <c r="A215" s="1055"/>
      <c r="D215" s="653"/>
      <c r="G215" s="653"/>
    </row>
    <row r="216" spans="1:7" ht="21" hidden="1">
      <c r="A216" s="158"/>
      <c r="D216" s="653"/>
      <c r="G216" s="653"/>
    </row>
    <row r="217" spans="1:7" ht="19" hidden="1">
      <c r="A217" s="159"/>
      <c r="D217" s="653"/>
      <c r="G217" s="653"/>
    </row>
    <row r="218" spans="1:7" hidden="1">
      <c r="A218" s="1055"/>
      <c r="D218" s="653"/>
      <c r="G218" s="653"/>
    </row>
    <row r="219" spans="1:7" hidden="1">
      <c r="A219" s="1055"/>
      <c r="D219" s="653"/>
      <c r="G219" s="653"/>
    </row>
    <row r="220" spans="1:7" hidden="1">
      <c r="A220" s="1055"/>
      <c r="D220" s="653"/>
      <c r="G220" s="653"/>
    </row>
    <row r="221" spans="1:7" hidden="1">
      <c r="A221" s="1055"/>
      <c r="D221" s="653"/>
      <c r="G221" s="653"/>
    </row>
    <row r="222" spans="1:7" hidden="1">
      <c r="A222" s="1055"/>
      <c r="D222" s="653"/>
      <c r="G222" s="653"/>
    </row>
    <row r="223" spans="1:7" hidden="1">
      <c r="A223" s="1055"/>
      <c r="D223" s="653"/>
      <c r="G223" s="653"/>
    </row>
    <row r="224" spans="1:7" hidden="1">
      <c r="A224" s="1055"/>
      <c r="D224" s="653"/>
      <c r="G224" s="653"/>
    </row>
    <row r="225" spans="1:7" hidden="1">
      <c r="A225" s="1055"/>
      <c r="D225" s="653"/>
      <c r="G225" s="653"/>
    </row>
    <row r="226" spans="1:7" hidden="1">
      <c r="A226" s="1055"/>
      <c r="D226" s="653"/>
      <c r="G226" s="653"/>
    </row>
    <row r="227" spans="1:7" hidden="1">
      <c r="A227" s="1055"/>
      <c r="D227" s="653"/>
      <c r="G227" s="653"/>
    </row>
    <row r="228" spans="1:7" hidden="1">
      <c r="A228" s="1055"/>
      <c r="D228" s="653"/>
      <c r="G228" s="653"/>
    </row>
    <row r="229" spans="1:7" ht="19" hidden="1">
      <c r="A229" s="159"/>
      <c r="D229" s="653"/>
      <c r="G229" s="653"/>
    </row>
    <row r="230" spans="1:7" hidden="1">
      <c r="A230" s="1055"/>
      <c r="D230" s="653"/>
      <c r="G230" s="653"/>
    </row>
    <row r="231" spans="1:7" hidden="1">
      <c r="A231" s="1055"/>
      <c r="D231" s="653"/>
      <c r="G231" s="653"/>
    </row>
    <row r="232" spans="1:7" hidden="1">
      <c r="A232" s="1055"/>
      <c r="D232" s="653"/>
      <c r="G232" s="653"/>
    </row>
    <row r="233" spans="1:7" hidden="1">
      <c r="A233" s="1055"/>
      <c r="D233" s="653"/>
      <c r="G233" s="653"/>
    </row>
    <row r="234" spans="1:7" hidden="1">
      <c r="A234" s="1055"/>
      <c r="D234" s="653"/>
      <c r="G234" s="653"/>
    </row>
    <row r="235" spans="1:7" hidden="1">
      <c r="A235" s="1055"/>
      <c r="D235" s="653"/>
      <c r="G235" s="653"/>
    </row>
    <row r="236" spans="1:7" hidden="1">
      <c r="A236" s="1055"/>
      <c r="D236" s="653"/>
      <c r="G236" s="653"/>
    </row>
    <row r="237" spans="1:7" hidden="1">
      <c r="A237" s="1055"/>
      <c r="D237" s="653"/>
      <c r="G237" s="653"/>
    </row>
    <row r="238" spans="1:7" hidden="1">
      <c r="A238" s="1055"/>
      <c r="D238" s="653"/>
      <c r="G238" s="653"/>
    </row>
    <row r="239" spans="1:7" hidden="1">
      <c r="A239" s="1055"/>
      <c r="D239" s="653"/>
      <c r="G239" s="653"/>
    </row>
    <row r="240" spans="1:7" hidden="1">
      <c r="A240" s="1055"/>
      <c r="D240" s="653"/>
      <c r="G240" s="653"/>
    </row>
    <row r="241" spans="1:7" hidden="1">
      <c r="A241" s="1055"/>
      <c r="D241" s="653"/>
      <c r="G241" s="653"/>
    </row>
    <row r="242" spans="1:7" hidden="1">
      <c r="A242" s="1055"/>
      <c r="D242" s="653"/>
      <c r="G242" s="653"/>
    </row>
    <row r="243" spans="1:7" hidden="1">
      <c r="A243" s="1055"/>
      <c r="D243" s="653"/>
      <c r="G243" s="653"/>
    </row>
    <row r="244" spans="1:7" hidden="1">
      <c r="A244" s="1055"/>
      <c r="D244" s="653"/>
      <c r="G244" s="653"/>
    </row>
    <row r="245" spans="1:7" hidden="1">
      <c r="A245" s="1055"/>
      <c r="D245" s="653"/>
      <c r="G245" s="653"/>
    </row>
    <row r="246" spans="1:7" ht="19" hidden="1">
      <c r="A246" s="159"/>
      <c r="D246" s="653"/>
      <c r="G246" s="653"/>
    </row>
    <row r="247" spans="1:7" hidden="1">
      <c r="A247" s="1055"/>
      <c r="D247" s="653"/>
      <c r="G247" s="653"/>
    </row>
    <row r="248" spans="1:7" hidden="1">
      <c r="A248" s="1055"/>
      <c r="D248" s="653"/>
      <c r="G248" s="653"/>
    </row>
    <row r="249" spans="1:7" ht="19" hidden="1">
      <c r="A249" s="159"/>
      <c r="D249" s="653"/>
      <c r="G249" s="653"/>
    </row>
    <row r="250" spans="1:7" hidden="1">
      <c r="A250" s="1055"/>
      <c r="D250" s="653"/>
      <c r="G250" s="653"/>
    </row>
    <row r="251" spans="1:7" hidden="1">
      <c r="A251" s="1055"/>
      <c r="D251" s="653"/>
      <c r="G251" s="653"/>
    </row>
    <row r="252" spans="1:7" hidden="1">
      <c r="A252" s="1055"/>
      <c r="D252" s="653"/>
      <c r="G252" s="653"/>
    </row>
    <row r="253" spans="1:7" hidden="1">
      <c r="A253" s="1055"/>
      <c r="D253" s="653"/>
      <c r="G253" s="653"/>
    </row>
    <row r="254" spans="1:7" hidden="1">
      <c r="A254" s="1055"/>
      <c r="D254" s="653"/>
      <c r="G254" s="653"/>
    </row>
    <row r="255" spans="1:7" hidden="1">
      <c r="A255" s="1055"/>
      <c r="D255" s="653"/>
      <c r="G255" s="653"/>
    </row>
    <row r="256" spans="1:7" hidden="1">
      <c r="A256" s="1055"/>
      <c r="D256" s="653"/>
      <c r="G256" s="653"/>
    </row>
    <row r="257" spans="1:7" ht="21" hidden="1">
      <c r="A257" s="376"/>
      <c r="D257" s="653"/>
      <c r="G257" s="653"/>
    </row>
    <row r="258" spans="1:7" hidden="1">
      <c r="D258" s="653"/>
      <c r="G258" s="653"/>
    </row>
    <row r="259" spans="1:7" hidden="1">
      <c r="D259" s="653"/>
      <c r="G259" s="653"/>
    </row>
    <row r="260" spans="1:7" hidden="1">
      <c r="D260" s="653"/>
      <c r="G260" s="653"/>
    </row>
    <row r="261" spans="1:7" hidden="1">
      <c r="D261" s="653"/>
      <c r="G261" s="653"/>
    </row>
    <row r="262" spans="1:7" hidden="1">
      <c r="D262" s="653"/>
      <c r="G262" s="653"/>
    </row>
    <row r="263" spans="1:7" hidden="1">
      <c r="D263" s="653"/>
      <c r="G263" s="653"/>
    </row>
    <row r="264" spans="1:7" hidden="1">
      <c r="D264" s="653"/>
      <c r="G264" s="653"/>
    </row>
    <row r="265" spans="1:7" hidden="1">
      <c r="D265" s="653"/>
      <c r="G265" s="653"/>
    </row>
    <row r="266" spans="1:7" hidden="1">
      <c r="D266" s="653"/>
      <c r="G266" s="653"/>
    </row>
    <row r="267" spans="1:7" ht="21" hidden="1">
      <c r="A267" s="158"/>
      <c r="D267" s="653"/>
      <c r="G267" s="653"/>
    </row>
    <row r="268" spans="1:7" hidden="1">
      <c r="D268" s="653"/>
      <c r="G268" s="653"/>
    </row>
    <row r="269" spans="1:7" hidden="1">
      <c r="D269" s="653"/>
      <c r="G269" s="653"/>
    </row>
    <row r="270" spans="1:7" hidden="1">
      <c r="D270" s="653"/>
      <c r="G270" s="653"/>
    </row>
    <row r="271" spans="1:7" hidden="1">
      <c r="D271" s="653"/>
      <c r="G271" s="653"/>
    </row>
    <row r="272" spans="1:7" hidden="1">
      <c r="D272" s="653"/>
      <c r="G272" s="653"/>
    </row>
    <row r="273" spans="1:7" hidden="1">
      <c r="D273" s="653"/>
      <c r="G273" s="653"/>
    </row>
    <row r="274" spans="1:7" hidden="1">
      <c r="D274" s="653"/>
      <c r="G274" s="653"/>
    </row>
    <row r="275" spans="1:7" hidden="1">
      <c r="D275" s="653"/>
      <c r="G275" s="653"/>
    </row>
    <row r="276" spans="1:7" hidden="1">
      <c r="D276" s="653"/>
      <c r="G276" s="653"/>
    </row>
    <row r="277" spans="1:7" ht="21" hidden="1">
      <c r="A277" s="158"/>
      <c r="D277" s="653"/>
      <c r="G277" s="653"/>
    </row>
    <row r="278" spans="1:7" hidden="1">
      <c r="D278" s="653"/>
      <c r="G278" s="653"/>
    </row>
    <row r="279" spans="1:7" hidden="1">
      <c r="D279" s="653"/>
      <c r="G279" s="653"/>
    </row>
    <row r="280" spans="1:7" hidden="1">
      <c r="D280" s="653"/>
      <c r="G280" s="653"/>
    </row>
    <row r="281" spans="1:7" hidden="1">
      <c r="D281" s="653"/>
      <c r="G281" s="653"/>
    </row>
    <row r="282" spans="1:7" ht="24" hidden="1">
      <c r="A282" s="157"/>
      <c r="D282" s="653"/>
      <c r="G282" s="653"/>
    </row>
    <row r="283" spans="1:7" hidden="1">
      <c r="D283" s="653"/>
      <c r="G283" s="653"/>
    </row>
    <row r="284" spans="1:7" hidden="1">
      <c r="D284" s="653"/>
      <c r="G284" s="653"/>
    </row>
    <row r="285" spans="1:7" hidden="1">
      <c r="D285" s="653"/>
      <c r="G285" s="653"/>
    </row>
    <row r="286" spans="1:7" hidden="1">
      <c r="D286" s="653"/>
      <c r="G286" s="653"/>
    </row>
    <row r="287" spans="1:7" hidden="1">
      <c r="D287" s="653"/>
      <c r="G287" s="653"/>
    </row>
    <row r="288" spans="1:7" hidden="1">
      <c r="D288" s="653"/>
      <c r="G288" s="653"/>
    </row>
    <row r="289" spans="1:7" ht="24" hidden="1">
      <c r="A289" s="157"/>
      <c r="D289" s="653"/>
      <c r="G289" s="653"/>
    </row>
    <row r="290" spans="1:7" hidden="1">
      <c r="D290" s="653"/>
      <c r="G290" s="653"/>
    </row>
    <row r="291" spans="1:7" ht="21" hidden="1">
      <c r="A291" s="161"/>
      <c r="D291" s="653"/>
      <c r="G291" s="653"/>
    </row>
    <row r="292" spans="1:7" ht="19" hidden="1">
      <c r="A292" s="159"/>
      <c r="D292" s="653"/>
      <c r="G292" s="653"/>
    </row>
    <row r="293" spans="1:7" hidden="1">
      <c r="D293" s="653"/>
      <c r="G293" s="653"/>
    </row>
    <row r="294" spans="1:7" hidden="1">
      <c r="D294" s="653"/>
      <c r="G294" s="653"/>
    </row>
    <row r="295" spans="1:7" hidden="1">
      <c r="D295" s="653"/>
      <c r="G295" s="653"/>
    </row>
    <row r="296" spans="1:7" ht="19" hidden="1">
      <c r="A296" s="159"/>
      <c r="D296" s="653"/>
      <c r="G296" s="653"/>
    </row>
    <row r="297" spans="1:7" hidden="1">
      <c r="D297" s="653"/>
      <c r="G297" s="653"/>
    </row>
    <row r="298" spans="1:7" hidden="1">
      <c r="D298" s="653"/>
      <c r="G298" s="653"/>
    </row>
    <row r="299" spans="1:7" hidden="1">
      <c r="D299" s="653"/>
      <c r="G299" s="653"/>
    </row>
    <row r="300" spans="1:7" hidden="1">
      <c r="D300" s="653"/>
      <c r="G300" s="653"/>
    </row>
    <row r="301" spans="1:7" hidden="1">
      <c r="D301" s="653"/>
      <c r="G301" s="653"/>
    </row>
    <row r="302" spans="1:7" hidden="1">
      <c r="D302" s="653"/>
      <c r="G302" s="653"/>
    </row>
    <row r="303" spans="1:7" hidden="1">
      <c r="D303" s="653"/>
      <c r="G303" s="653"/>
    </row>
    <row r="304" spans="1:7" hidden="1">
      <c r="D304" s="653"/>
      <c r="G304" s="653"/>
    </row>
    <row r="305" spans="1:7" ht="19" hidden="1">
      <c r="A305" s="159"/>
      <c r="D305" s="653"/>
      <c r="G305" s="653"/>
    </row>
    <row r="306" spans="1:7" hidden="1">
      <c r="D306" s="653"/>
      <c r="G306" s="653"/>
    </row>
    <row r="307" spans="1:7" hidden="1">
      <c r="D307" s="653"/>
      <c r="G307" s="653"/>
    </row>
    <row r="308" spans="1:7" hidden="1">
      <c r="D308" s="653"/>
      <c r="G308" s="653"/>
    </row>
    <row r="309" spans="1:7" hidden="1">
      <c r="D309" s="653"/>
      <c r="G309" s="653"/>
    </row>
    <row r="310" spans="1:7" hidden="1">
      <c r="D310" s="653"/>
      <c r="G310" s="653"/>
    </row>
    <row r="311" spans="1:7" ht="21" hidden="1">
      <c r="A311" s="161"/>
      <c r="D311" s="653"/>
      <c r="G311" s="653"/>
    </row>
    <row r="312" spans="1:7" ht="19" hidden="1">
      <c r="A312" s="159"/>
      <c r="D312" s="653"/>
      <c r="G312" s="653"/>
    </row>
    <row r="313" spans="1:7" hidden="1">
      <c r="D313" s="653"/>
      <c r="G313" s="653"/>
    </row>
    <row r="314" spans="1:7" hidden="1">
      <c r="D314" s="653"/>
      <c r="G314" s="653"/>
    </row>
    <row r="315" spans="1:7" hidden="1">
      <c r="D315" s="653"/>
      <c r="G315" s="653"/>
    </row>
    <row r="316" spans="1:7" ht="19" hidden="1">
      <c r="A316" s="159"/>
      <c r="D316" s="653"/>
      <c r="G316" s="653"/>
    </row>
    <row r="317" spans="1:7" hidden="1">
      <c r="D317" s="653"/>
      <c r="G317" s="653"/>
    </row>
    <row r="318" spans="1:7" hidden="1">
      <c r="D318" s="653"/>
      <c r="G318" s="653"/>
    </row>
    <row r="319" spans="1:7" hidden="1">
      <c r="D319" s="653"/>
      <c r="G319" s="653"/>
    </row>
    <row r="320" spans="1:7" hidden="1">
      <c r="D320" s="653"/>
      <c r="G320" s="653"/>
    </row>
    <row r="321" spans="1:7" hidden="1">
      <c r="D321" s="653"/>
      <c r="G321" s="653"/>
    </row>
    <row r="322" spans="1:7" hidden="1">
      <c r="D322" s="653"/>
      <c r="G322" s="653"/>
    </row>
    <row r="323" spans="1:7" hidden="1">
      <c r="D323" s="653"/>
      <c r="G323" s="653"/>
    </row>
    <row r="324" spans="1:7" hidden="1">
      <c r="D324" s="653"/>
      <c r="G324" s="653"/>
    </row>
    <row r="325" spans="1:7" hidden="1">
      <c r="A325" s="1055"/>
      <c r="D325" s="653"/>
      <c r="G325" s="653"/>
    </row>
    <row r="326" spans="1:7" hidden="1">
      <c r="A326" s="1055"/>
      <c r="D326" s="653"/>
      <c r="G326" s="653"/>
    </row>
    <row r="327" spans="1:7" hidden="1">
      <c r="A327" s="1055"/>
      <c r="D327" s="653"/>
      <c r="G327" s="653"/>
    </row>
    <row r="328" spans="1:7" hidden="1">
      <c r="D328" s="653"/>
      <c r="G328" s="653"/>
    </row>
    <row r="329" spans="1:7" hidden="1">
      <c r="D329" s="653"/>
      <c r="G329" s="653"/>
    </row>
    <row r="330" spans="1:7" hidden="1">
      <c r="D330" s="653"/>
      <c r="G330" s="653"/>
    </row>
    <row r="331" spans="1:7" hidden="1">
      <c r="D331" s="653"/>
      <c r="G331" s="653"/>
    </row>
    <row r="332" spans="1:7" hidden="1">
      <c r="D332" s="653"/>
      <c r="G332" s="653"/>
    </row>
    <row r="333" spans="1:7" hidden="1">
      <c r="D333" s="653"/>
      <c r="G333" s="653"/>
    </row>
    <row r="334" spans="1:7" hidden="1">
      <c r="D334" s="653"/>
      <c r="G334" s="653"/>
    </row>
    <row r="335" spans="1:7" hidden="1">
      <c r="D335" s="653"/>
      <c r="G335" s="653"/>
    </row>
    <row r="336" spans="1:7" hidden="1">
      <c r="D336" s="653"/>
      <c r="G336" s="653"/>
    </row>
    <row r="337" spans="1:7" hidden="1">
      <c r="D337" s="653"/>
      <c r="G337" s="653"/>
    </row>
    <row r="338" spans="1:7" hidden="1">
      <c r="D338" s="653"/>
      <c r="G338" s="653"/>
    </row>
    <row r="339" spans="1:7" hidden="1">
      <c r="D339" s="653"/>
      <c r="G339" s="653"/>
    </row>
    <row r="340" spans="1:7" hidden="1">
      <c r="D340" s="653"/>
      <c r="G340" s="653"/>
    </row>
    <row r="341" spans="1:7" hidden="1">
      <c r="D341" s="653"/>
      <c r="G341" s="653"/>
    </row>
    <row r="342" spans="1:7" hidden="1">
      <c r="D342" s="653"/>
      <c r="G342" s="653"/>
    </row>
    <row r="343" spans="1:7" hidden="1">
      <c r="D343" s="653"/>
      <c r="G343" s="653"/>
    </row>
    <row r="344" spans="1:7" hidden="1">
      <c r="D344" s="653"/>
      <c r="G344" s="653"/>
    </row>
    <row r="345" spans="1:7" hidden="1">
      <c r="A345" s="1055"/>
      <c r="D345" s="653"/>
      <c r="G345" s="653"/>
    </row>
    <row r="346" spans="1:7" hidden="1">
      <c r="A346" s="1055"/>
      <c r="D346" s="653"/>
      <c r="G346" s="653"/>
    </row>
    <row r="347" spans="1:7" hidden="1">
      <c r="A347" s="1055"/>
      <c r="D347" s="653"/>
      <c r="G347" s="653"/>
    </row>
    <row r="348" spans="1:7" hidden="1">
      <c r="D348" s="653"/>
      <c r="G348" s="653"/>
    </row>
    <row r="349" spans="1:7" hidden="1">
      <c r="D349" s="653"/>
      <c r="G349" s="653"/>
    </row>
    <row r="350" spans="1:7" hidden="1">
      <c r="D350" s="653"/>
      <c r="G350" s="653"/>
    </row>
    <row r="351" spans="1:7" hidden="1">
      <c r="D351" s="653"/>
      <c r="G351" s="653"/>
    </row>
    <row r="352" spans="1:7" hidden="1">
      <c r="D352" s="653"/>
      <c r="G352" s="653"/>
    </row>
    <row r="353" spans="1:7" hidden="1">
      <c r="D353" s="653"/>
      <c r="G353" s="653"/>
    </row>
    <row r="354" spans="1:7" hidden="1">
      <c r="D354" s="653"/>
      <c r="G354" s="653"/>
    </row>
    <row r="355" spans="1:7" hidden="1">
      <c r="D355" s="653"/>
      <c r="G355" s="653"/>
    </row>
    <row r="356" spans="1:7" hidden="1">
      <c r="D356" s="653"/>
      <c r="G356" s="653"/>
    </row>
    <row r="357" spans="1:7" hidden="1">
      <c r="D357" s="653"/>
      <c r="G357" s="653"/>
    </row>
    <row r="358" spans="1:7" hidden="1">
      <c r="D358" s="653"/>
      <c r="G358" s="653"/>
    </row>
    <row r="359" spans="1:7" hidden="1">
      <c r="D359" s="653"/>
      <c r="G359" s="653"/>
    </row>
    <row r="360" spans="1:7" hidden="1">
      <c r="D360" s="653"/>
      <c r="G360" s="653"/>
    </row>
    <row r="361" spans="1:7" ht="24" hidden="1">
      <c r="A361" s="157"/>
      <c r="D361" s="653"/>
      <c r="G361" s="653"/>
    </row>
    <row r="362" spans="1:7" ht="21" hidden="1">
      <c r="A362" s="158"/>
      <c r="D362" s="653"/>
      <c r="G362" s="653"/>
    </row>
    <row r="363" spans="1:7" hidden="1">
      <c r="D363" s="653"/>
      <c r="G363" s="653"/>
    </row>
    <row r="364" spans="1:7" ht="21" hidden="1">
      <c r="A364" s="158"/>
      <c r="D364" s="653"/>
      <c r="G364" s="653"/>
    </row>
    <row r="365" spans="1:7" hidden="1">
      <c r="D365" s="653"/>
      <c r="G365" s="653"/>
    </row>
    <row r="366" spans="1:7" hidden="1">
      <c r="D366" s="653"/>
      <c r="G366" s="653"/>
    </row>
    <row r="367" spans="1:7" hidden="1">
      <c r="D367" s="653"/>
      <c r="G367" s="653"/>
    </row>
    <row r="368" spans="1:7" hidden="1">
      <c r="D368" s="653"/>
      <c r="G368" s="653"/>
    </row>
    <row r="369" spans="1:7" hidden="1">
      <c r="D369" s="653"/>
      <c r="G369" s="653"/>
    </row>
    <row r="370" spans="1:7" hidden="1">
      <c r="D370" s="653"/>
      <c r="G370" s="653"/>
    </row>
    <row r="371" spans="1:7" hidden="1">
      <c r="D371" s="653"/>
      <c r="G371" s="653"/>
    </row>
    <row r="372" spans="1:7" hidden="1">
      <c r="D372" s="653"/>
      <c r="G372" s="653"/>
    </row>
    <row r="373" spans="1:7" ht="24" hidden="1">
      <c r="A373" s="157"/>
      <c r="D373" s="653"/>
      <c r="G373" s="653"/>
    </row>
    <row r="374" spans="1:7" hidden="1">
      <c r="D374" s="653"/>
      <c r="G374" s="653"/>
    </row>
    <row r="375" spans="1:7" hidden="1">
      <c r="D375" s="653"/>
      <c r="G375" s="653"/>
    </row>
    <row r="376" spans="1:7" hidden="1">
      <c r="D376" s="653"/>
      <c r="G376" s="653"/>
    </row>
    <row r="377" spans="1:7" hidden="1">
      <c r="D377" s="653"/>
      <c r="G377" s="653"/>
    </row>
    <row r="378" spans="1:7" hidden="1">
      <c r="D378" s="653"/>
      <c r="G378" s="653"/>
    </row>
    <row r="379" spans="1:7" hidden="1">
      <c r="D379" s="653"/>
      <c r="G379" s="653"/>
    </row>
    <row r="380" spans="1:7" hidden="1">
      <c r="D380" s="653"/>
      <c r="G380" s="653"/>
    </row>
    <row r="381" spans="1:7" hidden="1">
      <c r="A381" s="113"/>
      <c r="D381" s="653"/>
      <c r="G381" s="653"/>
    </row>
    <row r="382" spans="1:7" ht="24" hidden="1">
      <c r="A382" s="157"/>
      <c r="D382" s="653"/>
      <c r="G382" s="653"/>
    </row>
    <row r="383" spans="1:7" hidden="1">
      <c r="D383" s="653"/>
      <c r="G383" s="653"/>
    </row>
    <row r="384" spans="1:7" hidden="1">
      <c r="D384" s="653"/>
      <c r="G384" s="653"/>
    </row>
  </sheetData>
  <mergeCells count="1">
    <mergeCell ref="D1:N1"/>
  </mergeCells>
  <phoneticPr fontId="150" type="noConversion"/>
  <pageMargins left="0.7" right="0.7" top="0.75" bottom="0.75" header="0.3" footer="0.3"/>
  <pageSetup orientation="portrait" r:id="rId1"/>
  <legacy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5433-DEC7-413D-8AC3-EFC65DC37B75}">
  <sheetPr codeName="Sheet11">
    <tabColor theme="0" tint="-0.249977111117893"/>
  </sheetPr>
  <dimension ref="A1:L351"/>
  <sheetViews>
    <sheetView zoomScale="120" zoomScaleNormal="120" workbookViewId="0"/>
  </sheetViews>
  <sheetFormatPr baseColWidth="10" defaultColWidth="0" defaultRowHeight="16" zeroHeight="1"/>
  <cols>
    <col min="1" max="1" width="2.6640625" style="1059" customWidth="1"/>
    <col min="2" max="2" width="7.83203125" style="886" bestFit="1" customWidth="1"/>
    <col min="3" max="3" width="3.1640625" style="886" customWidth="1"/>
    <col min="4" max="4" width="66.6640625" style="886" customWidth="1"/>
    <col min="5" max="5" width="24.6640625" style="886" customWidth="1"/>
    <col min="6" max="6" width="14.1640625" style="886" customWidth="1"/>
    <col min="7" max="7" width="23.1640625" style="886" customWidth="1"/>
    <col min="8" max="8" width="21.5" style="886" customWidth="1"/>
    <col min="9" max="9" width="2.6640625" style="886" customWidth="1"/>
    <col min="10" max="10" width="44.6640625" style="886" bestFit="1" customWidth="1"/>
    <col min="11" max="11" width="2.6640625" style="886" customWidth="1"/>
    <col min="12" max="12" width="9" style="886" customWidth="1"/>
    <col min="13" max="16384" width="9" style="886" hidden="1"/>
  </cols>
  <sheetData>
    <row r="1" spans="1:11" s="424" customFormat="1" ht="46.5" customHeight="1">
      <c r="A1" s="154"/>
      <c r="B1" s="422" t="s">
        <v>1817</v>
      </c>
      <c r="C1" s="422"/>
      <c r="E1" s="1250" t="s">
        <v>1693</v>
      </c>
      <c r="F1" s="1250"/>
      <c r="G1" s="1250"/>
      <c r="H1" s="1250"/>
      <c r="I1" s="1250"/>
      <c r="J1" s="1250"/>
    </row>
    <row r="2" spans="1:11" s="997" customFormat="1" ht="19">
      <c r="A2" s="154"/>
      <c r="B2" s="423"/>
      <c r="C2" s="998"/>
      <c r="D2" s="999"/>
      <c r="E2" s="999"/>
      <c r="F2" s="998"/>
      <c r="G2" s="998"/>
      <c r="H2" s="998"/>
      <c r="I2" s="998"/>
      <c r="J2" s="996"/>
      <c r="K2" s="996"/>
    </row>
    <row r="3" spans="1:11">
      <c r="B3" s="885" t="s">
        <v>991</v>
      </c>
      <c r="C3" s="885" t="s">
        <v>567</v>
      </c>
      <c r="D3" s="886" t="s">
        <v>1</v>
      </c>
      <c r="E3" s="886" t="s">
        <v>1605</v>
      </c>
      <c r="F3" s="886" t="s">
        <v>994</v>
      </c>
      <c r="G3" s="886" t="str">
        <f>'Input import'!$D$2&amp;'Input import'!$D$3</f>
        <v>00</v>
      </c>
      <c r="H3" s="886" t="s">
        <v>992</v>
      </c>
    </row>
    <row r="4" spans="1:11" s="1059" customFormat="1">
      <c r="B4" s="1065"/>
      <c r="C4" s="1065"/>
    </row>
    <row r="5" spans="1:11" s="901" customFormat="1" ht="19">
      <c r="A5" s="1060"/>
      <c r="B5" s="898" t="s">
        <v>22</v>
      </c>
      <c r="C5" s="899"/>
      <c r="D5" s="900"/>
      <c r="E5" s="900"/>
      <c r="F5" s="900"/>
      <c r="G5" s="900"/>
      <c r="H5" s="900"/>
      <c r="I5" s="887"/>
      <c r="J5" s="991"/>
    </row>
    <row r="6" spans="1:11">
      <c r="B6" s="894"/>
      <c r="D6" s="886" t="s">
        <v>28</v>
      </c>
      <c r="F6" s="886" t="s">
        <v>1818</v>
      </c>
      <c r="G6" s="886" t="str" cm="1">
        <f t="array" ref="G6">IFERROR(_xlfn.XLOOKUP(1,('Input import'!$B:$B='Facilitatory data'!$D6)*('Input import'!$A:$A='Facilitatory data'!G$3),'Input import'!$D:$D),"")</f>
        <v/>
      </c>
      <c r="H6" s="886" t="s">
        <v>995</v>
      </c>
      <c r="I6" s="887"/>
      <c r="J6" s="992" t="s">
        <v>1819</v>
      </c>
    </row>
    <row r="7" spans="1:11">
      <c r="B7" s="893"/>
      <c r="C7" s="885"/>
      <c r="D7" s="886" t="s">
        <v>33</v>
      </c>
      <c r="G7" s="886" t="str" cm="1">
        <f t="array" ref="G7">IFERROR(_xlfn.XLOOKUP(1,('Input import'!$B:$B='Facilitatory data'!$D7)*('Input import'!$A:$A='Facilitatory data'!G$3),'Input import'!$D:$D),"")</f>
        <v/>
      </c>
      <c r="H7" s="886" t="s">
        <v>996</v>
      </c>
      <c r="J7" s="992" t="s">
        <v>1820</v>
      </c>
    </row>
    <row r="8" spans="1:11">
      <c r="B8" s="894"/>
      <c r="D8" s="886" t="s">
        <v>48</v>
      </c>
      <c r="F8" s="886" t="s">
        <v>1818</v>
      </c>
      <c r="G8" s="886" t="str" cm="1">
        <f t="array" ref="G8">IFERROR(_xlfn.XLOOKUP(1,('Input import'!$B:$B='Facilitatory data'!$D8)*('Input import'!$A:$A='Facilitatory data'!G$3),'Input import'!$D:$D),"")</f>
        <v/>
      </c>
      <c r="H8" s="886" t="s">
        <v>997</v>
      </c>
      <c r="J8" s="992"/>
    </row>
    <row r="9" spans="1:11">
      <c r="B9" s="894"/>
      <c r="D9" s="886" t="s">
        <v>49</v>
      </c>
      <c r="F9" s="886" t="s">
        <v>1818</v>
      </c>
      <c r="G9" s="886" t="str" cm="1">
        <f t="array" ref="G9">IFERROR(_xlfn.XLOOKUP(1,('Input import'!$B:$B='Facilitatory data'!$D9)*('Input import'!$A:$A='Facilitatory data'!G$3),'Input import'!$D:$D),"")</f>
        <v/>
      </c>
      <c r="H9" s="886" t="s">
        <v>997</v>
      </c>
    </row>
    <row r="10" spans="1:11">
      <c r="B10" s="894"/>
      <c r="D10" s="886" t="s">
        <v>51</v>
      </c>
      <c r="F10" s="886" t="s">
        <v>1818</v>
      </c>
      <c r="G10" s="886" t="str" cm="1">
        <f t="array" ref="G10">IFERROR(_xlfn.XLOOKUP(1,('Input import'!$B:$B='Facilitatory data'!$D10)*('Input import'!$A:$A='Facilitatory data'!G$3),'Input import'!$D:$D),"")</f>
        <v/>
      </c>
      <c r="H10" s="886" t="s">
        <v>997</v>
      </c>
    </row>
    <row r="11" spans="1:11">
      <c r="B11" s="894"/>
      <c r="D11" s="886" t="s">
        <v>53</v>
      </c>
      <c r="F11" s="886" t="s">
        <v>1818</v>
      </c>
      <c r="G11" s="886" t="str" cm="1">
        <f t="array" ref="G11">IFERROR(_xlfn.XLOOKUP(1,('Input import'!$B:$B='Facilitatory data'!$D11)*('Input import'!$A:$A='Facilitatory data'!G$3),'Input import'!$D:$D),"")</f>
        <v/>
      </c>
      <c r="H11" s="886" t="s">
        <v>997</v>
      </c>
    </row>
    <row r="12" spans="1:11">
      <c r="B12" s="894"/>
      <c r="D12" s="886" t="s">
        <v>55</v>
      </c>
      <c r="F12" s="886" t="s">
        <v>1818</v>
      </c>
      <c r="G12" s="886" t="str" cm="1">
        <f t="array" ref="G12">IFERROR(_xlfn.XLOOKUP(1,('Input import'!$B:$B='Facilitatory data'!$D12)*('Input import'!$A:$A='Facilitatory data'!G$3),'Input import'!$D:$D),"")</f>
        <v/>
      </c>
      <c r="H12" s="886" t="s">
        <v>997</v>
      </c>
    </row>
    <row r="13" spans="1:11">
      <c r="B13" s="894"/>
      <c r="D13" s="886" t="s">
        <v>57</v>
      </c>
      <c r="F13" s="886" t="s">
        <v>1818</v>
      </c>
      <c r="G13" s="886" t="str" cm="1">
        <f t="array" ref="G13">IFERROR(_xlfn.XLOOKUP(1,('Input import'!$B:$B='Facilitatory data'!$D13)*('Input import'!$A:$A='Facilitatory data'!G$3),'Input import'!$D:$D),"")</f>
        <v/>
      </c>
      <c r="H13" s="886" t="s">
        <v>997</v>
      </c>
    </row>
    <row r="14" spans="1:11">
      <c r="B14" s="894"/>
      <c r="D14" s="886" t="s">
        <v>59</v>
      </c>
      <c r="F14" s="886" t="s">
        <v>1818</v>
      </c>
      <c r="G14" s="886" t="str" cm="1">
        <f t="array" ref="G14">IFERROR(_xlfn.XLOOKUP(1,('Input import'!$B:$B='Facilitatory data'!$D14)*('Input import'!$A:$A='Facilitatory data'!G$3),'Input import'!$D:$D),"")</f>
        <v/>
      </c>
      <c r="H14" s="886" t="s">
        <v>997</v>
      </c>
    </row>
    <row r="15" spans="1:11">
      <c r="B15" s="894"/>
      <c r="D15" s="886" t="s">
        <v>61</v>
      </c>
      <c r="F15" s="886" t="s">
        <v>1818</v>
      </c>
      <c r="G15" s="886" t="str" cm="1">
        <f t="array" ref="G15">IFERROR(_xlfn.XLOOKUP(1,('Input import'!$B:$B='Facilitatory data'!$D15)*('Input import'!$A:$A='Facilitatory data'!G$3),'Input import'!$D:$D),"")</f>
        <v/>
      </c>
      <c r="H15" s="886" t="s">
        <v>997</v>
      </c>
    </row>
    <row r="16" spans="1:11">
      <c r="B16" s="894"/>
      <c r="D16" s="886" t="s">
        <v>63</v>
      </c>
      <c r="F16" s="886" t="s">
        <v>1818</v>
      </c>
      <c r="G16" s="886" t="str" cm="1">
        <f t="array" ref="G16">IFERROR(_xlfn.XLOOKUP(1,('Input import'!$B:$B='Facilitatory data'!$D16)*('Input import'!$A:$A='Facilitatory data'!G$3),'Input import'!$D:$D),"")</f>
        <v/>
      </c>
      <c r="H16" s="886" t="s">
        <v>997</v>
      </c>
    </row>
    <row r="17" spans="1:8">
      <c r="B17" s="894"/>
      <c r="D17" s="886" t="s">
        <v>65</v>
      </c>
      <c r="F17" s="886" t="s">
        <v>1818</v>
      </c>
      <c r="G17" s="886" t="str" cm="1">
        <f t="array" ref="G17">IFERROR(_xlfn.XLOOKUP(1,('Input import'!$B:$B='Facilitatory data'!$D17)*('Input import'!$A:$A='Facilitatory data'!G$3),'Input import'!$D:$D),"")</f>
        <v/>
      </c>
      <c r="H17" s="886" t="s">
        <v>997</v>
      </c>
    </row>
    <row r="18" spans="1:8">
      <c r="B18" s="894"/>
      <c r="D18" s="886" t="s">
        <v>67</v>
      </c>
      <c r="F18" s="886" t="s">
        <v>1818</v>
      </c>
      <c r="G18" s="886" t="str" cm="1">
        <f t="array" ref="G18">IFERROR(_xlfn.XLOOKUP(1,('Input import'!$B:$B='Facilitatory data'!$D18)*('Input import'!$A:$A='Facilitatory data'!G$3),'Input import'!$D:$D),"")</f>
        <v/>
      </c>
      <c r="H18" s="886" t="s">
        <v>997</v>
      </c>
    </row>
    <row r="19" spans="1:8">
      <c r="B19" s="894"/>
      <c r="D19" s="886" t="s">
        <v>998</v>
      </c>
      <c r="F19" s="886" t="s">
        <v>1821</v>
      </c>
      <c r="G19" s="888">
        <f>IFERROR(SUMPRODUCT(G$8:G$18,{1;2;3;4;5;6;7;8;9;10;11}),"")</f>
        <v>0</v>
      </c>
      <c r="H19" s="886" t="s">
        <v>997</v>
      </c>
    </row>
    <row r="20" spans="1:8">
      <c r="B20" s="894"/>
      <c r="D20" s="886" t="s">
        <v>47</v>
      </c>
      <c r="F20" s="886" t="s">
        <v>1821</v>
      </c>
      <c r="G20" s="888">
        <f>IFERROR(SUM(G$8:G$18),"")</f>
        <v>0</v>
      </c>
      <c r="H20" s="886" t="s">
        <v>997</v>
      </c>
    </row>
    <row r="21" spans="1:8">
      <c r="B21" s="894"/>
      <c r="D21" s="886" t="s">
        <v>999</v>
      </c>
      <c r="F21" s="886" t="s">
        <v>1821</v>
      </c>
      <c r="G21" s="888" t="str">
        <f>IFERROR(G19/G6,"")</f>
        <v/>
      </c>
      <c r="H21" s="886" t="s">
        <v>997</v>
      </c>
    </row>
    <row r="22" spans="1:8">
      <c r="B22" s="894"/>
      <c r="D22" s="886" t="s">
        <v>70</v>
      </c>
      <c r="F22" s="886" t="s">
        <v>1818</v>
      </c>
      <c r="G22" s="886" t="str" cm="1">
        <f t="array" ref="G22">IFERROR(_xlfn.XLOOKUP(1,('Input import'!$B:$B='Facilitatory data'!$D22)*('Input import'!$A:$A='Facilitatory data'!G$3),'Input import'!$D:$D),"")</f>
        <v/>
      </c>
      <c r="H22" s="886" t="s">
        <v>997</v>
      </c>
    </row>
    <row r="23" spans="1:8">
      <c r="B23" s="894"/>
      <c r="D23" s="886" t="s">
        <v>72</v>
      </c>
      <c r="F23" s="886" t="s">
        <v>1818</v>
      </c>
      <c r="G23" s="886" t="str" cm="1">
        <f t="array" ref="G23">IFERROR(_xlfn.XLOOKUP(1,('Input import'!$B:$B='Facilitatory data'!$D23)*('Input import'!$A:$A='Facilitatory data'!G$3),'Input import'!$D:$D),"")</f>
        <v/>
      </c>
      <c r="H23" s="886" t="s">
        <v>997</v>
      </c>
    </row>
    <row r="24" spans="1:8">
      <c r="B24" s="894"/>
      <c r="D24" s="886" t="s">
        <v>74</v>
      </c>
      <c r="F24" s="886" t="s">
        <v>1818</v>
      </c>
      <c r="G24" s="886" t="str" cm="1">
        <f t="array" ref="G24">IFERROR(_xlfn.XLOOKUP(1,('Input import'!$B:$B='Facilitatory data'!$D24)*('Input import'!$A:$A='Facilitatory data'!G$3),'Input import'!$D:$D),"")</f>
        <v/>
      </c>
      <c r="H24" s="886" t="s">
        <v>997</v>
      </c>
    </row>
    <row r="25" spans="1:8"/>
    <row r="26" spans="1:8" s="901" customFormat="1" ht="19">
      <c r="A26" s="1060"/>
      <c r="B26" s="958" t="s">
        <v>107</v>
      </c>
      <c r="C26" s="903"/>
      <c r="D26" s="903"/>
      <c r="E26" s="903"/>
      <c r="F26" s="903"/>
      <c r="G26" s="903"/>
      <c r="H26" s="903"/>
    </row>
    <row r="27" spans="1:8">
      <c r="B27" s="896"/>
      <c r="D27" s="886" t="s">
        <v>152</v>
      </c>
      <c r="F27" s="886" t="s">
        <v>1818</v>
      </c>
      <c r="G27" s="886" t="str" cm="1">
        <f t="array" ref="G27">IFERROR(_xlfn.XLOOKUP(1,('Input import'!$B:$B='Facilitatory data'!$D27)*('Input import'!$A:$A='Facilitatory data'!G$3),'Input import'!$D:$D),"")</f>
        <v/>
      </c>
      <c r="H27" s="886" t="s">
        <v>1000</v>
      </c>
    </row>
    <row r="28" spans="1:8">
      <c r="B28" s="896"/>
      <c r="D28" s="886" t="s">
        <v>158</v>
      </c>
      <c r="F28" s="886" t="s">
        <v>1818</v>
      </c>
      <c r="G28" s="886" t="str" cm="1">
        <f t="array" ref="G28">IFERROR(_xlfn.XLOOKUP(1,('Input import'!$B:$B='Facilitatory data'!$D28)*('Input import'!$A:$A='Facilitatory data'!G$3),'Input import'!$D:$D),"")</f>
        <v/>
      </c>
      <c r="H28" s="886" t="s">
        <v>1000</v>
      </c>
    </row>
    <row r="29" spans="1:8">
      <c r="B29" s="896"/>
      <c r="D29" s="886" t="s">
        <v>162</v>
      </c>
      <c r="F29" s="886" t="s">
        <v>1818</v>
      </c>
      <c r="G29" s="886" t="str" cm="1">
        <f t="array" ref="G29">IFERROR(_xlfn.XLOOKUP(1,('Input import'!$B:$B='Facilitatory data'!$D29)*('Input import'!$A:$A='Facilitatory data'!G$3),'Input import'!$D:$D),"")</f>
        <v/>
      </c>
      <c r="H29" s="886" t="s">
        <v>1000</v>
      </c>
    </row>
    <row r="30" spans="1:8">
      <c r="B30" s="896"/>
      <c r="D30" s="886" t="s">
        <v>155</v>
      </c>
      <c r="F30" s="886" t="s">
        <v>1818</v>
      </c>
      <c r="G30" s="886" t="str" cm="1">
        <f t="array" ref="G30">IFERROR(_xlfn.XLOOKUP(1,('Input import'!$B:$B='Facilitatory data'!$D30)*('Input import'!$A:$A='Facilitatory data'!G$3),'Input import'!$D:$D),"")</f>
        <v/>
      </c>
      <c r="H30" s="886" t="s">
        <v>1001</v>
      </c>
    </row>
    <row r="31" spans="1:8">
      <c r="B31" s="896"/>
      <c r="D31" s="886" t="s">
        <v>160</v>
      </c>
      <c r="F31" s="886" t="s">
        <v>1818</v>
      </c>
      <c r="G31" s="886" t="str" cm="1">
        <f t="array" ref="G31">IFERROR(_xlfn.XLOOKUP(1,('Input import'!$B:$B='Facilitatory data'!$D31)*('Input import'!$A:$A='Facilitatory data'!G$3),'Input import'!$D:$D),"")</f>
        <v/>
      </c>
      <c r="H31" s="886" t="s">
        <v>1001</v>
      </c>
    </row>
    <row r="32" spans="1:8">
      <c r="B32" s="896"/>
      <c r="D32" s="886" t="s">
        <v>164</v>
      </c>
      <c r="F32" s="886" t="s">
        <v>1818</v>
      </c>
      <c r="G32" s="886" t="str" cm="1">
        <f t="array" ref="G32">IFERROR(_xlfn.XLOOKUP(1,('Input import'!$B:$B='Facilitatory data'!$D32)*('Input import'!$A:$A='Facilitatory data'!G$3),'Input import'!$D:$D),"")</f>
        <v/>
      </c>
      <c r="H32" s="886" t="s">
        <v>1001</v>
      </c>
    </row>
    <row r="33" spans="2:8">
      <c r="B33" s="896"/>
      <c r="D33" s="886" t="s">
        <v>1002</v>
      </c>
      <c r="E33" s="886" t="s">
        <v>1002</v>
      </c>
      <c r="F33" s="886" t="s">
        <v>1821</v>
      </c>
      <c r="G33" s="704">
        <f>IFERROR(G27*G30,0)</f>
        <v>0</v>
      </c>
      <c r="H33" s="886" t="s">
        <v>1000</v>
      </c>
    </row>
    <row r="34" spans="2:8">
      <c r="B34" s="896"/>
      <c r="D34" s="886" t="s">
        <v>1003</v>
      </c>
      <c r="E34" s="886" t="s">
        <v>1003</v>
      </c>
      <c r="F34" s="886" t="s">
        <v>1821</v>
      </c>
      <c r="G34" s="704">
        <f>IFERROR(G28*G31,0)</f>
        <v>0</v>
      </c>
      <c r="H34" s="886" t="s">
        <v>1000</v>
      </c>
    </row>
    <row r="35" spans="2:8">
      <c r="B35" s="896"/>
      <c r="D35" s="886" t="s">
        <v>1004</v>
      </c>
      <c r="E35" s="886" t="s">
        <v>1004</v>
      </c>
      <c r="F35" s="886" t="s">
        <v>1821</v>
      </c>
      <c r="G35" s="704">
        <f>IFERROR(G29*G32,0)</f>
        <v>0</v>
      </c>
      <c r="H35" s="886" t="s">
        <v>1000</v>
      </c>
    </row>
    <row r="36" spans="2:8">
      <c r="B36" s="896"/>
      <c r="D36" s="886" t="s">
        <v>1005</v>
      </c>
      <c r="F36" s="886" t="s">
        <v>1821</v>
      </c>
      <c r="G36" s="704">
        <f>IFERROR(G27*(1-G30),0)</f>
        <v>0</v>
      </c>
      <c r="H36" s="886" t="s">
        <v>1000</v>
      </c>
    </row>
    <row r="37" spans="2:8">
      <c r="B37" s="896"/>
      <c r="D37" s="886" t="s">
        <v>1006</v>
      </c>
      <c r="F37" s="886" t="s">
        <v>1821</v>
      </c>
      <c r="G37" s="704">
        <f>IFERROR(G28*(1-G31),0)</f>
        <v>0</v>
      </c>
      <c r="H37" s="886" t="s">
        <v>1000</v>
      </c>
    </row>
    <row r="38" spans="2:8">
      <c r="B38" s="896"/>
      <c r="D38" s="886" t="s">
        <v>1007</v>
      </c>
      <c r="F38" s="886" t="s">
        <v>1821</v>
      </c>
      <c r="G38" s="704">
        <f>IFERROR(G29*(1-G32),0)</f>
        <v>0</v>
      </c>
      <c r="H38" s="886" t="s">
        <v>1000</v>
      </c>
    </row>
    <row r="39" spans="2:8">
      <c r="B39" s="896"/>
      <c r="G39" s="704"/>
    </row>
    <row r="40" spans="2:8">
      <c r="B40" s="959" t="s">
        <v>1008</v>
      </c>
      <c r="C40" s="897"/>
      <c r="D40" s="897"/>
      <c r="E40" s="897"/>
      <c r="F40" s="897"/>
      <c r="G40" s="897"/>
      <c r="H40" s="897"/>
    </row>
    <row r="41" spans="2:8">
      <c r="B41" s="896"/>
      <c r="D41" s="704" t="s">
        <v>167</v>
      </c>
      <c r="F41" s="886" t="s">
        <v>1818</v>
      </c>
      <c r="G41" s="886" t="str" cm="1">
        <f t="array" ref="G41">IFERROR(_xlfn.XLOOKUP(1,('Input import'!$B:$B='Facilitatory data'!$D41)*('Input import'!$A:$A='Facilitatory data'!G$3),'Input import'!$D:$D),"")</f>
        <v/>
      </c>
      <c r="H41" s="886" t="s">
        <v>1000</v>
      </c>
    </row>
    <row r="42" spans="2:8">
      <c r="B42" s="896"/>
      <c r="D42" s="41" t="s">
        <v>169</v>
      </c>
      <c r="F42" s="886" t="s">
        <v>1818</v>
      </c>
      <c r="G42" s="886" t="str" cm="1">
        <f t="array" ref="G42">IFERROR(_xlfn.XLOOKUP(1,('Input import'!$B:$B='Facilitatory data'!$D42)*('Input import'!$A:$A='Facilitatory data'!G$3),'Input import'!$D:$D),"")</f>
        <v/>
      </c>
      <c r="H42" s="886" t="s">
        <v>1000</v>
      </c>
    </row>
    <row r="43" spans="2:8">
      <c r="B43" s="896"/>
      <c r="D43" s="886" t="s">
        <v>1009</v>
      </c>
      <c r="F43" s="886" t="s">
        <v>1010</v>
      </c>
      <c r="G43" s="886">
        <f>IFERROR(SUM(G41:G42),"")</f>
        <v>0</v>
      </c>
      <c r="H43" s="886" t="s">
        <v>1000</v>
      </c>
    </row>
    <row r="44" spans="2:8" ht="14.25" customHeight="1">
      <c r="B44" s="896"/>
      <c r="D44" s="704" t="s">
        <v>171</v>
      </c>
      <c r="F44" s="886" t="s">
        <v>1818</v>
      </c>
      <c r="G44" s="886" t="str" cm="1">
        <f t="array" ref="G44">IFERROR(_xlfn.XLOOKUP(1,('Input import'!$B:$B='Facilitatory data'!$D44)*('Input import'!$A:$A='Facilitatory data'!G$3),'Input import'!$D:$D),"")</f>
        <v/>
      </c>
      <c r="H44" s="886" t="s">
        <v>1001</v>
      </c>
    </row>
    <row r="45" spans="2:8">
      <c r="B45" s="896"/>
      <c r="D45" s="886" t="s">
        <v>1011</v>
      </c>
      <c r="F45" s="886" t="s">
        <v>1821</v>
      </c>
      <c r="G45" s="886" t="str">
        <f>IFERROR(G43*(G44),"")</f>
        <v/>
      </c>
      <c r="H45" s="886" t="s">
        <v>1000</v>
      </c>
    </row>
    <row r="46" spans="2:8">
      <c r="B46" s="896"/>
      <c r="D46" s="886" t="s">
        <v>1012</v>
      </c>
      <c r="F46" s="886" t="s">
        <v>1821</v>
      </c>
      <c r="G46" s="886" t="str">
        <f>IFERROR(G43*(1-G44),"")</f>
        <v/>
      </c>
      <c r="H46" s="886" t="s">
        <v>1000</v>
      </c>
    </row>
    <row r="47" spans="2:8">
      <c r="B47" s="896"/>
      <c r="D47" s="42" t="s">
        <v>173</v>
      </c>
      <c r="F47" s="886" t="s">
        <v>1818</v>
      </c>
      <c r="G47" s="886" t="str" cm="1">
        <f t="array" ref="G47">IFERROR(_xlfn.XLOOKUP(1,('Input import'!$B:$B='Facilitatory data'!$D47)*('Input import'!$A:$A='Facilitatory data'!G$3),'Input import'!$D:$D),"")</f>
        <v/>
      </c>
      <c r="H47" s="886" t="s">
        <v>1000</v>
      </c>
    </row>
    <row r="48" spans="2:8">
      <c r="B48" s="896"/>
      <c r="D48" s="42" t="s">
        <v>175</v>
      </c>
      <c r="F48" s="886" t="s">
        <v>1818</v>
      </c>
      <c r="G48" s="886" t="str" cm="1">
        <f t="array" ref="G48">IFERROR(_xlfn.XLOOKUP(1,('Input import'!$B:$B='Facilitatory data'!$D48)*('Input import'!$A:$A='Facilitatory data'!G$3),'Input import'!$D:$D),"")</f>
        <v/>
      </c>
      <c r="H48" s="886" t="s">
        <v>1000</v>
      </c>
    </row>
    <row r="49" spans="2:8">
      <c r="B49" s="896"/>
      <c r="D49" s="886" t="s">
        <v>1013</v>
      </c>
      <c r="F49" s="886" t="s">
        <v>1010</v>
      </c>
      <c r="G49" s="886">
        <f>IFERROR(SUM(G47:G48),"")</f>
        <v>0</v>
      </c>
      <c r="H49" s="886" t="s">
        <v>1000</v>
      </c>
    </row>
    <row r="50" spans="2:8">
      <c r="B50" s="896"/>
      <c r="D50" s="886" t="s">
        <v>177</v>
      </c>
      <c r="F50" s="886" t="s">
        <v>1818</v>
      </c>
      <c r="G50" s="886" t="str" cm="1">
        <f t="array" ref="G50">IFERROR(_xlfn.XLOOKUP(1,('Input import'!$B:$B='Facilitatory data'!$D50)*('Input import'!$A:$A='Facilitatory data'!G$3),'Input import'!$D:$D),"")</f>
        <v/>
      </c>
      <c r="H50" s="886" t="s">
        <v>1001</v>
      </c>
    </row>
    <row r="51" spans="2:8">
      <c r="B51" s="896"/>
      <c r="D51" s="886" t="s">
        <v>1014</v>
      </c>
      <c r="F51" s="886" t="s">
        <v>1821</v>
      </c>
      <c r="G51" s="886" t="str">
        <f>IFERROR(G49*(G50),"")</f>
        <v/>
      </c>
      <c r="H51" s="886" t="s">
        <v>1000</v>
      </c>
    </row>
    <row r="52" spans="2:8">
      <c r="B52" s="896"/>
      <c r="D52" s="886" t="s">
        <v>1015</v>
      </c>
      <c r="F52" s="886" t="s">
        <v>1821</v>
      </c>
      <c r="G52" s="886" t="str">
        <f>IFERROR(G49*(1-G50),"")</f>
        <v/>
      </c>
      <c r="H52" s="886" t="s">
        <v>1000</v>
      </c>
    </row>
    <row r="53" spans="2:8">
      <c r="B53" s="896"/>
      <c r="D53" s="42" t="s">
        <v>179</v>
      </c>
      <c r="F53" s="886" t="s">
        <v>1818</v>
      </c>
      <c r="G53" s="886" t="str" cm="1">
        <f t="array" ref="G53">IFERROR(_xlfn.XLOOKUP(1,('Input import'!$B:$B='Facilitatory data'!$D53)*('Input import'!$A:$A='Facilitatory data'!G$3),'Input import'!$D:$D),"")</f>
        <v/>
      </c>
      <c r="H53" s="886" t="s">
        <v>1000</v>
      </c>
    </row>
    <row r="54" spans="2:8">
      <c r="B54" s="896"/>
      <c r="D54" s="42" t="s">
        <v>181</v>
      </c>
      <c r="F54" s="886" t="s">
        <v>1818</v>
      </c>
      <c r="G54" s="886" t="str" cm="1">
        <f t="array" ref="G54">IFERROR(_xlfn.XLOOKUP(1,('Input import'!$B:$B='Facilitatory data'!$D54)*('Input import'!$A:$A='Facilitatory data'!G$3),'Input import'!$D:$D),"")</f>
        <v/>
      </c>
      <c r="H54" s="886" t="s">
        <v>1000</v>
      </c>
    </row>
    <row r="55" spans="2:8">
      <c r="B55" s="896"/>
      <c r="D55" s="886" t="s">
        <v>1016</v>
      </c>
      <c r="F55" s="886" t="s">
        <v>1010</v>
      </c>
      <c r="G55" s="886">
        <f>IFERROR(SUM(G53:G54),"")</f>
        <v>0</v>
      </c>
      <c r="H55" s="886" t="s">
        <v>1000</v>
      </c>
    </row>
    <row r="56" spans="2:8">
      <c r="B56" s="896"/>
      <c r="D56" s="886" t="s">
        <v>183</v>
      </c>
      <c r="F56" s="886" t="s">
        <v>1818</v>
      </c>
      <c r="G56" s="886" t="str" cm="1">
        <f t="array" ref="G56">IFERROR(_xlfn.XLOOKUP(1,('Input import'!$B:$B='Facilitatory data'!$D56)*('Input import'!$A:$A='Facilitatory data'!G$3),'Input import'!$D:$D),"")</f>
        <v/>
      </c>
      <c r="H56" s="886" t="s">
        <v>1001</v>
      </c>
    </row>
    <row r="57" spans="2:8">
      <c r="B57" s="896"/>
      <c r="D57" s="886" t="s">
        <v>1017</v>
      </c>
      <c r="F57" s="886" t="s">
        <v>1821</v>
      </c>
      <c r="G57" s="886" t="str">
        <f>IFERROR(G55*(G56),"")</f>
        <v/>
      </c>
      <c r="H57" s="886" t="s">
        <v>1000</v>
      </c>
    </row>
    <row r="58" spans="2:8">
      <c r="B58" s="896"/>
      <c r="D58" s="886" t="s">
        <v>1018</v>
      </c>
      <c r="F58" s="886" t="s">
        <v>1821</v>
      </c>
      <c r="G58" s="886" t="str">
        <f>IFERROR(G55*(1-G56),"")</f>
        <v/>
      </c>
      <c r="H58" s="886" t="s">
        <v>1000</v>
      </c>
    </row>
    <row r="59" spans="2:8">
      <c r="B59" s="896"/>
    </row>
    <row r="60" spans="2:8">
      <c r="B60" s="896"/>
      <c r="D60" s="886" t="s">
        <v>1009</v>
      </c>
      <c r="F60" s="886" t="s">
        <v>1821</v>
      </c>
      <c r="G60" s="889">
        <f>IFERROR(G43*'Emission factors - list'!D54/1000,"")</f>
        <v>0</v>
      </c>
      <c r="H60" s="886" t="s">
        <v>574</v>
      </c>
    </row>
    <row r="61" spans="2:8" ht="14.25" customHeight="1">
      <c r="B61" s="896"/>
      <c r="D61" s="704" t="s">
        <v>171</v>
      </c>
      <c r="F61" s="886" t="s">
        <v>1818</v>
      </c>
      <c r="G61" s="886" t="str" cm="1">
        <f t="array" ref="G61">IFERROR(_xlfn.XLOOKUP(1,('Input import'!$B:$B='Facilitatory data'!$D61)*('Input import'!$A:$A='Facilitatory data'!G$3),'Input import'!$D:$D),"")</f>
        <v/>
      </c>
      <c r="H61" s="886" t="s">
        <v>1001</v>
      </c>
    </row>
    <row r="62" spans="2:8">
      <c r="B62" s="896"/>
      <c r="D62" s="886" t="s">
        <v>1013</v>
      </c>
      <c r="F62" s="886" t="s">
        <v>1821</v>
      </c>
      <c r="G62" s="889">
        <f>IFERROR(G43*'Emission factors - list'!D56/1000,"")</f>
        <v>0</v>
      </c>
      <c r="H62" s="886" t="s">
        <v>574</v>
      </c>
    </row>
    <row r="63" spans="2:8">
      <c r="B63" s="896"/>
      <c r="D63" s="886" t="s">
        <v>177</v>
      </c>
      <c r="F63" s="886" t="s">
        <v>1818</v>
      </c>
      <c r="G63" s="886" t="str" cm="1">
        <f t="array" ref="G63">IFERROR(_xlfn.XLOOKUP(1,('Input import'!$B:$B='Facilitatory data'!$D63)*('Input import'!$A:$A='Facilitatory data'!G$3),'Input import'!$D:$D),"")</f>
        <v/>
      </c>
      <c r="H63" s="886" t="s">
        <v>1001</v>
      </c>
    </row>
    <row r="64" spans="2:8">
      <c r="B64" s="896"/>
      <c r="D64" s="886" t="s">
        <v>1016</v>
      </c>
      <c r="F64" s="886" t="s">
        <v>1821</v>
      </c>
      <c r="G64" s="889">
        <f>IFERROR(G43*'Emission factors - list'!D58/1000,"")</f>
        <v>0</v>
      </c>
      <c r="H64" s="886" t="s">
        <v>574</v>
      </c>
    </row>
    <row r="65" spans="2:8">
      <c r="B65" s="896"/>
      <c r="D65" s="886" t="s">
        <v>183</v>
      </c>
      <c r="F65" s="886" t="s">
        <v>1818</v>
      </c>
      <c r="G65" s="886" t="str" cm="1">
        <f t="array" ref="G65">IFERROR(_xlfn.XLOOKUP(1,('Input import'!$B:$B='Facilitatory data'!$D65)*('Input import'!$A:$A='Facilitatory data'!G$3),'Input import'!$D:$D),"")</f>
        <v/>
      </c>
      <c r="H65" s="886" t="s">
        <v>1001</v>
      </c>
    </row>
    <row r="66" spans="2:8">
      <c r="B66" s="896"/>
      <c r="D66" s="886" t="s">
        <v>1011</v>
      </c>
      <c r="F66" s="886" t="s">
        <v>1821</v>
      </c>
      <c r="G66" s="890" t="str">
        <f>IFERROR(G60*G61,"")</f>
        <v/>
      </c>
      <c r="H66" s="886" t="s">
        <v>574</v>
      </c>
    </row>
    <row r="67" spans="2:8">
      <c r="B67" s="896"/>
      <c r="D67" s="886" t="s">
        <v>1012</v>
      </c>
      <c r="F67" s="886" t="s">
        <v>1821</v>
      </c>
      <c r="G67" s="890" t="str">
        <f>IFERROR(G60*(1-G61),"")</f>
        <v/>
      </c>
      <c r="H67" s="886" t="s">
        <v>574</v>
      </c>
    </row>
    <row r="68" spans="2:8">
      <c r="B68" s="896"/>
      <c r="D68" s="886" t="s">
        <v>1014</v>
      </c>
      <c r="F68" s="886" t="s">
        <v>1821</v>
      </c>
      <c r="G68" s="890" t="str">
        <f>IFERROR(G62*G63,"")</f>
        <v/>
      </c>
      <c r="H68" s="886" t="s">
        <v>574</v>
      </c>
    </row>
    <row r="69" spans="2:8">
      <c r="B69" s="896"/>
      <c r="D69" s="886" t="s">
        <v>1015</v>
      </c>
      <c r="F69" s="886" t="s">
        <v>1821</v>
      </c>
      <c r="G69" s="890" t="str">
        <f>IFERROR(G62*(1-G63),"")</f>
        <v/>
      </c>
      <c r="H69" s="886" t="s">
        <v>574</v>
      </c>
    </row>
    <row r="70" spans="2:8">
      <c r="B70" s="896"/>
      <c r="D70" s="886" t="s">
        <v>1017</v>
      </c>
      <c r="F70" s="886" t="s">
        <v>1821</v>
      </c>
      <c r="G70" s="890" t="str">
        <f>IFERROR(G64*G65,"")</f>
        <v/>
      </c>
      <c r="H70" s="886" t="s">
        <v>574</v>
      </c>
    </row>
    <row r="71" spans="2:8">
      <c r="B71" s="896"/>
      <c r="D71" s="886" t="s">
        <v>1018</v>
      </c>
      <c r="F71" s="886" t="s">
        <v>1821</v>
      </c>
      <c r="G71" s="890" t="str">
        <f>IFERROR(G64*(1-G65),"")</f>
        <v/>
      </c>
      <c r="H71" s="886" t="s">
        <v>574</v>
      </c>
    </row>
    <row r="72" spans="2:8">
      <c r="B72" s="959" t="s">
        <v>149</v>
      </c>
      <c r="C72" s="897"/>
      <c r="D72" s="897"/>
      <c r="E72" s="897"/>
      <c r="F72" s="897"/>
      <c r="G72" s="897"/>
      <c r="H72" s="897"/>
    </row>
    <row r="73" spans="2:8">
      <c r="B73" s="896"/>
      <c r="D73" s="886" t="s">
        <v>208</v>
      </c>
      <c r="F73" s="886" t="s">
        <v>1818</v>
      </c>
      <c r="G73" s="886" t="str" cm="1">
        <f t="array" ref="G73">IFERROR(_xlfn.XLOOKUP(1,('Input import'!$B:$B='Facilitatory data'!$D73)*('Input import'!$A:$A='Facilitatory data'!G$3),'Input import'!$D:$D),"")</f>
        <v/>
      </c>
      <c r="H73" s="1138" t="s">
        <v>96</v>
      </c>
    </row>
    <row r="74" spans="2:8">
      <c r="B74" s="896"/>
      <c r="D74" s="886" t="s">
        <v>1019</v>
      </c>
      <c r="F74" s="886" t="s">
        <v>1821</v>
      </c>
      <c r="G74" s="886" t="str">
        <f>IFERROR(G73*(1-'EF-background info'!$D$174),"")</f>
        <v/>
      </c>
      <c r="H74" s="1138" t="s">
        <v>96</v>
      </c>
    </row>
    <row r="75" spans="2:8">
      <c r="B75" s="896"/>
      <c r="D75" s="886" t="s">
        <v>210</v>
      </c>
      <c r="F75" s="886" t="s">
        <v>1818</v>
      </c>
      <c r="G75" s="886" t="str" cm="1">
        <f t="array" ref="G75">IFERROR(_xlfn.XLOOKUP(1,('Input import'!$B:$B='Facilitatory data'!$D75)*('Input import'!$A:$A='Facilitatory data'!G$3),'Input import'!$D:$D),"")</f>
        <v/>
      </c>
      <c r="H75" s="1138" t="s">
        <v>96</v>
      </c>
    </row>
    <row r="76" spans="2:8">
      <c r="B76" s="896"/>
      <c r="D76" s="886" t="s">
        <v>1020</v>
      </c>
      <c r="E76" s="886" t="s">
        <v>1020</v>
      </c>
      <c r="F76" s="886" t="s">
        <v>1821</v>
      </c>
      <c r="G76" s="886">
        <f>IFERROR(SUM(G74:G75),"")</f>
        <v>0</v>
      </c>
      <c r="H76" s="1138" t="s">
        <v>96</v>
      </c>
    </row>
    <row r="77" spans="2:8">
      <c r="B77" s="896"/>
      <c r="D77" s="886" t="s">
        <v>191</v>
      </c>
      <c r="F77" s="886" t="s">
        <v>1818</v>
      </c>
      <c r="G77" s="886" t="str" cm="1">
        <f t="array" ref="G77">IFERROR(_xlfn.XLOOKUP(1,('Input import'!$B:$B='Facilitatory data'!$D77)*('Input import'!$A:$A='Facilitatory data'!G$3),'Input import'!$D:$D),"")</f>
        <v/>
      </c>
      <c r="H77" s="1138" t="s">
        <v>96</v>
      </c>
    </row>
    <row r="78" spans="2:8">
      <c r="B78" s="896"/>
      <c r="D78" s="886" t="s">
        <v>1021</v>
      </c>
      <c r="F78" s="886" t="s">
        <v>1821</v>
      </c>
      <c r="G78" s="891" t="str">
        <f>IFERROR(G73*'EF-background info'!$D$174,"")</f>
        <v/>
      </c>
      <c r="H78" s="1138" t="s">
        <v>96</v>
      </c>
    </row>
    <row r="79" spans="2:8">
      <c r="B79" s="896"/>
      <c r="D79" s="886" t="s">
        <v>1022</v>
      </c>
      <c r="F79" s="886" t="s">
        <v>1821</v>
      </c>
      <c r="G79" s="891">
        <f>IFERROR(SUM(G77:G78),"")</f>
        <v>0</v>
      </c>
      <c r="H79" s="1138" t="s">
        <v>96</v>
      </c>
    </row>
    <row r="80" spans="2:8">
      <c r="B80" s="896"/>
      <c r="D80" s="886" t="s">
        <v>1023</v>
      </c>
      <c r="F80" s="886" t="s">
        <v>1821</v>
      </c>
      <c r="G80" s="891">
        <f>IFERROR(G79*'EF-background info'!D170,"")</f>
        <v>0</v>
      </c>
      <c r="H80" s="1138" t="s">
        <v>96</v>
      </c>
    </row>
    <row r="81" spans="1:8">
      <c r="B81" s="896"/>
      <c r="D81" s="886" t="s">
        <v>1024</v>
      </c>
      <c r="F81" s="886" t="s">
        <v>1821</v>
      </c>
      <c r="G81" s="891">
        <f>IFERROR(G79*'EF-background info'!D171,"")</f>
        <v>0</v>
      </c>
      <c r="H81" s="1138" t="s">
        <v>96</v>
      </c>
    </row>
    <row r="82" spans="1:8">
      <c r="B82" s="896"/>
      <c r="D82" s="886" t="s">
        <v>193</v>
      </c>
      <c r="F82" s="886" t="s">
        <v>1818</v>
      </c>
      <c r="G82" s="886" t="str" cm="1">
        <f t="array" ref="G82">IFERROR(_xlfn.XLOOKUP(1,('Input import'!$B:$B='Facilitatory data'!$D82)*('Input import'!$A:$A='Facilitatory data'!G$3),'Input import'!$D:$D),"")</f>
        <v/>
      </c>
      <c r="H82" s="1138" t="s">
        <v>96</v>
      </c>
    </row>
    <row r="83" spans="1:8">
      <c r="B83" s="896"/>
      <c r="D83" s="886" t="s">
        <v>197</v>
      </c>
      <c r="F83" s="886" t="s">
        <v>1818</v>
      </c>
      <c r="G83" s="886" t="str" cm="1">
        <f t="array" ref="G83">IFERROR(_xlfn.XLOOKUP(1,('Input import'!$B:$B='Facilitatory data'!$D83)*('Input import'!$A:$A='Facilitatory data'!G$3),'Input import'!$D:$D),"")</f>
        <v/>
      </c>
      <c r="H83" s="1138" t="s">
        <v>96</v>
      </c>
    </row>
    <row r="84" spans="1:8">
      <c r="B84" s="896"/>
      <c r="D84" s="886" t="s">
        <v>193</v>
      </c>
      <c r="E84" s="886" t="s">
        <v>193</v>
      </c>
      <c r="F84" s="886" t="s">
        <v>1821</v>
      </c>
      <c r="G84" s="891">
        <f>IFERROR(SUM(G80,G82),"")</f>
        <v>0</v>
      </c>
      <c r="H84" s="1138" t="s">
        <v>96</v>
      </c>
    </row>
    <row r="85" spans="1:8">
      <c r="B85" s="896"/>
      <c r="D85" s="886" t="s">
        <v>197</v>
      </c>
      <c r="E85" s="886" t="s">
        <v>197</v>
      </c>
      <c r="F85" s="886" t="s">
        <v>1821</v>
      </c>
      <c r="G85" s="891">
        <f>IFERROR(SUM(G81,G83),"")</f>
        <v>0</v>
      </c>
      <c r="H85" s="1138" t="s">
        <v>96</v>
      </c>
    </row>
    <row r="86" spans="1:8"/>
    <row r="87" spans="1:8" s="901" customFormat="1" ht="19">
      <c r="A87" s="1060"/>
      <c r="B87" s="904" t="s">
        <v>216</v>
      </c>
      <c r="C87" s="904"/>
      <c r="D87" s="904"/>
      <c r="E87" s="904"/>
      <c r="F87" s="904"/>
      <c r="G87" s="904"/>
      <c r="H87" s="904"/>
    </row>
    <row r="88" spans="1:8">
      <c r="B88" s="905"/>
      <c r="D88" s="886" t="s">
        <v>221</v>
      </c>
      <c r="F88" s="886" t="s">
        <v>1818</v>
      </c>
      <c r="G88" s="886" t="str" cm="1">
        <f t="array" ref="G88">IFERROR(_xlfn.XLOOKUP(1,('Input import'!$B:$B='Facilitatory data'!$D88)*('Input import'!$A:$A='Facilitatory data'!G$3),'Input import'!$D:$D),"")</f>
        <v/>
      </c>
      <c r="H88" s="886" t="s">
        <v>1001</v>
      </c>
    </row>
    <row r="89" spans="1:8">
      <c r="B89" s="905"/>
      <c r="D89" s="886" t="s">
        <v>225</v>
      </c>
      <c r="F89" s="886" t="s">
        <v>1818</v>
      </c>
      <c r="G89" s="886" t="str" cm="1">
        <f t="array" ref="G89">IFERROR(_xlfn.XLOOKUP(1,('Input import'!$B:$B='Facilitatory data'!$D89)*('Input import'!$A:$A='Facilitatory data'!G$3),'Input import'!$D:$D),"")</f>
        <v/>
      </c>
      <c r="H89" s="886" t="s">
        <v>1001</v>
      </c>
    </row>
    <row r="90" spans="1:8">
      <c r="B90" s="905"/>
      <c r="D90" s="886" t="s">
        <v>228</v>
      </c>
      <c r="F90" s="886" t="s">
        <v>1818</v>
      </c>
      <c r="G90" s="886" t="str" cm="1">
        <f t="array" ref="G90">IFERROR(_xlfn.XLOOKUP(1,('Input import'!$B:$B='Facilitatory data'!$D90)*('Input import'!$A:$A='Facilitatory data'!G$3),'Input import'!$D:$D),"")</f>
        <v/>
      </c>
      <c r="H90" s="886" t="s">
        <v>1001</v>
      </c>
    </row>
    <row r="91" spans="1:8">
      <c r="B91" s="905"/>
      <c r="D91" s="886" t="s">
        <v>231</v>
      </c>
      <c r="F91" s="886" t="s">
        <v>1818</v>
      </c>
      <c r="G91" s="886" t="str" cm="1">
        <f t="array" ref="G91">IFERROR(_xlfn.XLOOKUP(1,('Input import'!$B:$B='Facilitatory data'!$D91)*('Input import'!$A:$A='Facilitatory data'!G$3),'Input import'!$D:$D),"")</f>
        <v/>
      </c>
      <c r="H91" s="886" t="s">
        <v>1001</v>
      </c>
    </row>
    <row r="92" spans="1:8">
      <c r="B92" s="905"/>
      <c r="D92" s="886" t="s">
        <v>234</v>
      </c>
      <c r="F92" s="886" t="s">
        <v>1818</v>
      </c>
      <c r="G92" s="886" t="str" cm="1">
        <f t="array" ref="G92">IFERROR(_xlfn.XLOOKUP(1,('Input import'!$B:$B='Facilitatory data'!$D92)*('Input import'!$A:$A='Facilitatory data'!G$3),'Input import'!$D:$D),"")</f>
        <v/>
      </c>
      <c r="H92" s="886" t="s">
        <v>1001</v>
      </c>
    </row>
    <row r="93" spans="1:8">
      <c r="B93" s="905"/>
      <c r="D93" s="886" t="s">
        <v>239</v>
      </c>
      <c r="F93" s="886" t="s">
        <v>1818</v>
      </c>
      <c r="G93" s="886" t="str" cm="1">
        <f t="array" ref="G93">IFERROR(_xlfn.XLOOKUP(1,('Input import'!$B:$B='Facilitatory data'!$D93)*('Input import'!$A:$A='Facilitatory data'!G$3),'Input import'!$D:$D),"")</f>
        <v/>
      </c>
      <c r="H93" s="886" t="s">
        <v>1001</v>
      </c>
    </row>
    <row r="94" spans="1:8">
      <c r="B94" s="905"/>
      <c r="D94" s="886" t="s">
        <v>242</v>
      </c>
      <c r="F94" s="886" t="s">
        <v>1818</v>
      </c>
      <c r="G94" s="886" t="str" cm="1">
        <f t="array" ref="G94">IFERROR(_xlfn.XLOOKUP(1,('Input import'!$B:$B='Facilitatory data'!$D94)*('Input import'!$A:$A='Facilitatory data'!G$3),'Input import'!$D:$D),"")</f>
        <v/>
      </c>
      <c r="H94" s="886" t="s">
        <v>1001</v>
      </c>
    </row>
    <row r="95" spans="1:8">
      <c r="B95" s="905"/>
      <c r="D95" s="886" t="s">
        <v>245</v>
      </c>
      <c r="F95" s="886" t="s">
        <v>1818</v>
      </c>
      <c r="G95" s="886" t="str" cm="1">
        <f t="array" ref="G95">IFERROR(_xlfn.XLOOKUP(1,('Input import'!$B:$B='Facilitatory data'!$D95)*('Input import'!$A:$A='Facilitatory data'!G$3),'Input import'!$D:$D),"")</f>
        <v/>
      </c>
      <c r="H95" s="886" t="s">
        <v>1001</v>
      </c>
    </row>
    <row r="96" spans="1:8">
      <c r="B96" s="905"/>
      <c r="D96" s="886" t="s">
        <v>248</v>
      </c>
      <c r="F96" s="886" t="s">
        <v>1818</v>
      </c>
      <c r="G96" s="886" t="str" cm="1">
        <f t="array" ref="G96">IFERROR(_xlfn.XLOOKUP(1,('Input import'!$B:$B='Facilitatory data'!$D96)*('Input import'!$A:$A='Facilitatory data'!G$3),'Input import'!$D:$D),"")</f>
        <v/>
      </c>
      <c r="H96" s="886" t="s">
        <v>1001</v>
      </c>
    </row>
    <row r="97" spans="2:8">
      <c r="B97" s="905"/>
      <c r="D97" s="886" t="s">
        <v>251</v>
      </c>
      <c r="F97" s="886" t="s">
        <v>1818</v>
      </c>
      <c r="G97" s="886" t="str" cm="1">
        <f t="array" ref="G97">IFERROR(_xlfn.XLOOKUP(1,('Input import'!$B:$B='Facilitatory data'!$D97)*('Input import'!$A:$A='Facilitatory data'!G$3),'Input import'!$D:$D),"")</f>
        <v/>
      </c>
      <c r="H97" s="886" t="s">
        <v>1001</v>
      </c>
    </row>
    <row r="98" spans="2:8">
      <c r="B98" s="905"/>
      <c r="D98" s="886" t="s">
        <v>259</v>
      </c>
      <c r="F98" s="886" t="s">
        <v>1818</v>
      </c>
      <c r="G98" s="886" t="str" cm="1">
        <f t="array" ref="G98">IFERROR(_xlfn.XLOOKUP(1,('Input import'!$B:$B='Facilitatory data'!$D98)*('Input import'!$A:$A='Facilitatory data'!G$3),'Input import'!$D:$D),"")</f>
        <v/>
      </c>
      <c r="H98" s="886" t="s">
        <v>1025</v>
      </c>
    </row>
    <row r="99" spans="2:8">
      <c r="B99" s="905"/>
      <c r="D99" s="886" t="s">
        <v>265</v>
      </c>
      <c r="F99" s="886" t="s">
        <v>1818</v>
      </c>
      <c r="G99" s="886" t="str" cm="1">
        <f t="array" ref="G99">IFERROR(_xlfn.XLOOKUP(1,('Input import'!$B:$B='Facilitatory data'!$D99)*('Input import'!$A:$A='Facilitatory data'!G$3),'Input import'!$D:$D),"")</f>
        <v/>
      </c>
      <c r="H99" s="886" t="s">
        <v>1025</v>
      </c>
    </row>
    <row r="100" spans="2:8">
      <c r="B100" s="905"/>
      <c r="D100" s="886" t="s">
        <v>1026</v>
      </c>
      <c r="F100" s="886" t="s">
        <v>1821</v>
      </c>
      <c r="G100" s="892" t="str">
        <f t="shared" ref="G100:G109" si="0">IFERROR($G$20*G88,"")</f>
        <v/>
      </c>
      <c r="H100" s="886" t="s">
        <v>997</v>
      </c>
    </row>
    <row r="101" spans="2:8">
      <c r="B101" s="905"/>
      <c r="D101" s="886" t="s">
        <v>1027</v>
      </c>
      <c r="F101" s="886" t="s">
        <v>1821</v>
      </c>
      <c r="G101" s="892" t="str">
        <f t="shared" si="0"/>
        <v/>
      </c>
      <c r="H101" s="886" t="s">
        <v>997</v>
      </c>
    </row>
    <row r="102" spans="2:8">
      <c r="B102" s="905"/>
      <c r="D102" s="886" t="s">
        <v>1028</v>
      </c>
      <c r="F102" s="886" t="s">
        <v>1821</v>
      </c>
      <c r="G102" s="892" t="str">
        <f t="shared" si="0"/>
        <v/>
      </c>
      <c r="H102" s="886" t="s">
        <v>997</v>
      </c>
    </row>
    <row r="103" spans="2:8">
      <c r="B103" s="905"/>
      <c r="D103" s="886" t="s">
        <v>1029</v>
      </c>
      <c r="F103" s="886" t="s">
        <v>1821</v>
      </c>
      <c r="G103" s="892" t="str">
        <f t="shared" si="0"/>
        <v/>
      </c>
      <c r="H103" s="886" t="s">
        <v>997</v>
      </c>
    </row>
    <row r="104" spans="2:8">
      <c r="B104" s="905"/>
      <c r="D104" s="886" t="s">
        <v>1030</v>
      </c>
      <c r="F104" s="886" t="s">
        <v>1821</v>
      </c>
      <c r="G104" s="892" t="str">
        <f t="shared" si="0"/>
        <v/>
      </c>
      <c r="H104" s="886" t="s">
        <v>997</v>
      </c>
    </row>
    <row r="105" spans="2:8">
      <c r="B105" s="905"/>
      <c r="D105" s="886" t="s">
        <v>1031</v>
      </c>
      <c r="F105" s="886" t="s">
        <v>1821</v>
      </c>
      <c r="G105" s="892" t="str">
        <f t="shared" si="0"/>
        <v/>
      </c>
      <c r="H105" s="886" t="s">
        <v>997</v>
      </c>
    </row>
    <row r="106" spans="2:8">
      <c r="B106" s="905"/>
      <c r="D106" s="886" t="s">
        <v>1032</v>
      </c>
      <c r="F106" s="886" t="s">
        <v>1821</v>
      </c>
      <c r="G106" s="892" t="str">
        <f t="shared" si="0"/>
        <v/>
      </c>
      <c r="H106" s="886" t="s">
        <v>997</v>
      </c>
    </row>
    <row r="107" spans="2:8">
      <c r="B107" s="905"/>
      <c r="D107" s="886" t="s">
        <v>1033</v>
      </c>
      <c r="F107" s="886" t="s">
        <v>1821</v>
      </c>
      <c r="G107" s="892" t="str">
        <f t="shared" si="0"/>
        <v/>
      </c>
      <c r="H107" s="886" t="s">
        <v>997</v>
      </c>
    </row>
    <row r="108" spans="2:8">
      <c r="B108" s="905"/>
      <c r="D108" s="886" t="s">
        <v>1034</v>
      </c>
      <c r="F108" s="886" t="s">
        <v>1821</v>
      </c>
      <c r="G108" s="892" t="str">
        <f t="shared" si="0"/>
        <v/>
      </c>
      <c r="H108" s="886" t="s">
        <v>997</v>
      </c>
    </row>
    <row r="109" spans="2:8">
      <c r="B109" s="905"/>
      <c r="D109" s="886" t="s">
        <v>1035</v>
      </c>
      <c r="F109" s="886" t="s">
        <v>1821</v>
      </c>
      <c r="G109" s="892" t="str">
        <f t="shared" si="0"/>
        <v/>
      </c>
      <c r="H109" s="886" t="s">
        <v>997</v>
      </c>
    </row>
    <row r="110" spans="2:8">
      <c r="B110" s="905"/>
      <c r="D110" s="886" t="s">
        <v>255</v>
      </c>
      <c r="F110" s="886" t="s">
        <v>1818</v>
      </c>
      <c r="G110" s="886" t="str" cm="1">
        <f t="array" ref="G110">IFERROR(_xlfn.XLOOKUP(1,('Input import'!$B:$B='Facilitatory data'!$D110)*('Input import'!$A:$A='Facilitatory data'!G$3),'Input import'!$D:$D),"")</f>
        <v/>
      </c>
      <c r="H110" s="886" t="s">
        <v>997</v>
      </c>
    </row>
    <row r="111" spans="2:8">
      <c r="B111" s="905"/>
      <c r="D111" s="886" t="s">
        <v>1036</v>
      </c>
      <c r="F111" s="886" t="s">
        <v>1821</v>
      </c>
      <c r="G111" s="892" t="str">
        <f>IFERROR(G110*(1-G98),"")</f>
        <v/>
      </c>
      <c r="H111" s="886" t="s">
        <v>997</v>
      </c>
    </row>
    <row r="112" spans="2:8">
      <c r="B112" s="905"/>
      <c r="D112" s="886" t="s">
        <v>1037</v>
      </c>
      <c r="F112" s="886" t="s">
        <v>1821</v>
      </c>
      <c r="G112" s="892" t="str">
        <f>IFERROR(G110*(G98),"")</f>
        <v/>
      </c>
      <c r="H112" s="886" t="s">
        <v>997</v>
      </c>
    </row>
    <row r="113" spans="2:10">
      <c r="B113" s="905"/>
      <c r="D113" s="886" t="s">
        <v>261</v>
      </c>
      <c r="F113" s="886" t="s">
        <v>1818</v>
      </c>
      <c r="G113" s="886" t="str" cm="1">
        <f t="array" ref="G113">IFERROR(_xlfn.XLOOKUP(1,('Input import'!$B:$B='Facilitatory data'!$D113)*('Input import'!$A:$A='Facilitatory data'!G$3),'Input import'!$D:$D),"")</f>
        <v/>
      </c>
      <c r="H113" s="886" t="s">
        <v>997</v>
      </c>
    </row>
    <row r="114" spans="2:10">
      <c r="B114" s="905"/>
      <c r="D114" s="886" t="s">
        <v>1038</v>
      </c>
      <c r="F114" s="886" t="s">
        <v>1821</v>
      </c>
      <c r="G114" s="886" t="str">
        <f>IFERROR(G113*(1-G99),"")</f>
        <v/>
      </c>
      <c r="H114" s="886" t="s">
        <v>997</v>
      </c>
    </row>
    <row r="115" spans="2:10">
      <c r="B115" s="905"/>
      <c r="D115" s="886" t="s">
        <v>1039</v>
      </c>
      <c r="F115" s="886" t="s">
        <v>1821</v>
      </c>
      <c r="G115" s="886" t="str">
        <f>IFERROR(G113*(G99),"")</f>
        <v/>
      </c>
      <c r="H115" s="886" t="s">
        <v>997</v>
      </c>
    </row>
    <row r="116" spans="2:10">
      <c r="B116" s="905"/>
      <c r="D116" s="886" t="s">
        <v>223</v>
      </c>
      <c r="F116" s="886" t="s">
        <v>1818</v>
      </c>
      <c r="G116" s="886" cm="1">
        <f t="array" ref="G116">IFERROR(IF(_xlfn.XLOOKUP(1,('Input import'!$B:$B='Facilitatory data'!$D116)*('Input import'!$A:$A='Facilitatory data'!G$3),'Input import'!$D:$D)=0,7.5,_xlfn.XLOOKUP(1,('Input import'!$B:$B='Facilitatory data'!$D116)*('Input import'!$A:$A='Facilitatory data'!G$3),'Input import'!$D:$D)),7.5)</f>
        <v>7.5</v>
      </c>
      <c r="H116" s="886" t="s">
        <v>1040</v>
      </c>
      <c r="J116" s="1200"/>
    </row>
    <row r="117" spans="2:10">
      <c r="B117" s="905"/>
      <c r="D117" s="886" t="s">
        <v>227</v>
      </c>
      <c r="F117" s="886" t="s">
        <v>1818</v>
      </c>
      <c r="G117" s="886" cm="1">
        <f t="array" ref="G117">IFERROR(IF(_xlfn.XLOOKUP(1,('Input import'!$B:$B='Facilitatory data'!$D117)*('Input import'!$A:$A='Facilitatory data'!G$3),'Input import'!$D:$D)=0,7.5,_xlfn.XLOOKUP(1,('Input import'!$B:$B='Facilitatory data'!$D117)*('Input import'!$A:$A='Facilitatory data'!G$3),'Input import'!$D:$D)),7.5)</f>
        <v>7.5</v>
      </c>
      <c r="H117" s="886" t="s">
        <v>1040</v>
      </c>
    </row>
    <row r="118" spans="2:10">
      <c r="B118" s="905"/>
      <c r="D118" s="886" t="s">
        <v>230</v>
      </c>
      <c r="F118" s="886" t="s">
        <v>1818</v>
      </c>
      <c r="G118" s="886" cm="1">
        <f t="array" ref="G118">IFERROR(IF(_xlfn.XLOOKUP(1,('Input import'!$B:$B='Facilitatory data'!$D118)*('Input import'!$A:$A='Facilitatory data'!G$3),'Input import'!$D:$D)=0,7.5,_xlfn.XLOOKUP(1,('Input import'!$B:$B='Facilitatory data'!$D118)*('Input import'!$A:$A='Facilitatory data'!G$3),'Input import'!$D:$D)),7.5)</f>
        <v>7.5</v>
      </c>
      <c r="H118" s="886" t="s">
        <v>1040</v>
      </c>
    </row>
    <row r="119" spans="2:10">
      <c r="B119" s="905"/>
      <c r="D119" s="886" t="s">
        <v>233</v>
      </c>
      <c r="F119" s="886" t="s">
        <v>1818</v>
      </c>
      <c r="G119" s="886" cm="1">
        <f t="array" ref="G119">IFERROR(IF(_xlfn.XLOOKUP(1,('Input import'!$B:$B='Facilitatory data'!$D119)*('Input import'!$A:$A='Facilitatory data'!G$3),'Input import'!$D:$D)=0,7.5,_xlfn.XLOOKUP(1,('Input import'!$B:$B='Facilitatory data'!$D119)*('Input import'!$A:$A='Facilitatory data'!G$3),'Input import'!$D:$D)),7.5)</f>
        <v>7.5</v>
      </c>
      <c r="H119" s="886" t="s">
        <v>1040</v>
      </c>
    </row>
    <row r="120" spans="2:10">
      <c r="B120" s="905"/>
      <c r="D120" s="886" t="s">
        <v>236</v>
      </c>
      <c r="F120" s="886" t="s">
        <v>1818</v>
      </c>
      <c r="G120" s="886" cm="1">
        <f t="array" ref="G120">IFERROR(IF(_xlfn.XLOOKUP(1,('Input import'!$B:$B='Facilitatory data'!$D120)*('Input import'!$A:$A='Facilitatory data'!G$3),'Input import'!$D:$D)=0,80,_xlfn.XLOOKUP(1,('Input import'!$B:$B='Facilitatory data'!$D120)*('Input import'!$A:$A='Facilitatory data'!G$3),'Input import'!$D:$D)),80)</f>
        <v>80</v>
      </c>
      <c r="H120" s="886" t="s">
        <v>1040</v>
      </c>
    </row>
    <row r="121" spans="2:10">
      <c r="B121" s="905"/>
      <c r="D121" s="886" t="s">
        <v>241</v>
      </c>
      <c r="F121" s="886" t="s">
        <v>1818</v>
      </c>
      <c r="G121" s="886" cm="1">
        <f t="array" ref="G121">IFERROR(IF(_xlfn.XLOOKUP(1,('Input import'!$B:$B='Facilitatory data'!$D121)*('Input import'!$A:$A='Facilitatory data'!G$3),'Input import'!$D:$D)=0,80,_xlfn.XLOOKUP(1,('Input import'!$B:$B='Facilitatory data'!$D121)*('Input import'!$A:$A='Facilitatory data'!G$3),'Input import'!$D:$D)),80)</f>
        <v>80</v>
      </c>
      <c r="H121" s="886" t="s">
        <v>1040</v>
      </c>
    </row>
    <row r="122" spans="2:10">
      <c r="B122" s="905"/>
      <c r="D122" s="886" t="s">
        <v>244</v>
      </c>
      <c r="F122" s="886" t="s">
        <v>1818</v>
      </c>
      <c r="G122" s="886" cm="1">
        <f t="array" ref="G122">IFERROR(IF(_xlfn.XLOOKUP(1,('Input import'!$B:$B='Facilitatory data'!$D122)*('Input import'!$A:$A='Facilitatory data'!G$3),'Input import'!$D:$D)=0,80,_xlfn.XLOOKUP(1,('Input import'!$B:$B='Facilitatory data'!$D122)*('Input import'!$A:$A='Facilitatory data'!G$3),'Input import'!$D:$D)),80)</f>
        <v>80</v>
      </c>
      <c r="H122" s="886" t="s">
        <v>1040</v>
      </c>
    </row>
    <row r="123" spans="2:10">
      <c r="B123" s="905"/>
      <c r="D123" s="886" t="s">
        <v>247</v>
      </c>
      <c r="F123" s="886" t="s">
        <v>1818</v>
      </c>
      <c r="G123" s="886" cm="1">
        <f t="array" ref="G123">IFERROR(IF(_xlfn.XLOOKUP(1,('Input import'!$B:$B='Facilitatory data'!$D123)*('Input import'!$A:$A='Facilitatory data'!G$3),'Input import'!$D:$D)=0,80,_xlfn.XLOOKUP(1,('Input import'!$B:$B='Facilitatory data'!$D123)*('Input import'!$A:$A='Facilitatory data'!G$3),'Input import'!$D:$D)),80)</f>
        <v>80</v>
      </c>
      <c r="H123" s="886" t="s">
        <v>1040</v>
      </c>
    </row>
    <row r="124" spans="2:10">
      <c r="B124" s="905"/>
      <c r="D124" s="886" t="s">
        <v>250</v>
      </c>
      <c r="F124" s="886" t="s">
        <v>1818</v>
      </c>
      <c r="G124" s="886" cm="1">
        <f t="array" ref="G124">IFERROR(IF(_xlfn.XLOOKUP(1,('Input import'!$B:$B='Facilitatory data'!$D124)*('Input import'!$A:$A='Facilitatory data'!G$3),'Input import'!$D:$D)=0,80,_xlfn.XLOOKUP(1,('Input import'!$B:$B='Facilitatory data'!$D124)*('Input import'!$A:$A='Facilitatory data'!G$3),'Input import'!$D:$D)),80)</f>
        <v>80</v>
      </c>
      <c r="H124" s="886" t="s">
        <v>1040</v>
      </c>
    </row>
    <row r="125" spans="2:10">
      <c r="B125" s="905"/>
      <c r="D125" s="886" t="s">
        <v>253</v>
      </c>
      <c r="F125" s="886" t="s">
        <v>1818</v>
      </c>
      <c r="G125" s="886" cm="1">
        <f t="array" ref="G125">IFERROR(IF(_xlfn.XLOOKUP(1,('Input import'!$B:$B='Facilitatory data'!$D125)*('Input import'!$A:$A='Facilitatory data'!G$3),'Input import'!$D:$D)=0,750,_xlfn.XLOOKUP(1,('Input import'!$B:$B='Facilitatory data'!$D125)*('Input import'!$A:$A='Facilitatory data'!G$3),'Input import'!$D:$D)),750)</f>
        <v>750</v>
      </c>
      <c r="H125" s="886" t="s">
        <v>1040</v>
      </c>
    </row>
    <row r="126" spans="2:10">
      <c r="B126" s="905"/>
      <c r="D126" s="886" t="s">
        <v>257</v>
      </c>
      <c r="F126" s="886" t="s">
        <v>1818</v>
      </c>
      <c r="G126" s="886" t="str" cm="1">
        <f t="array" ref="G126">IFERROR(_xlfn.XLOOKUP(1,('Input import'!$B:$B='Facilitatory data'!$D126)*('Input import'!$A:$A='Facilitatory data'!G$3),'Input import'!$D:$D),"")</f>
        <v/>
      </c>
      <c r="H126" s="886" t="s">
        <v>1040</v>
      </c>
    </row>
    <row r="127" spans="2:10">
      <c r="B127" s="905"/>
      <c r="D127" s="886" t="s">
        <v>1041</v>
      </c>
      <c r="F127" s="886" t="s">
        <v>1821</v>
      </c>
      <c r="G127" s="886" t="str">
        <f>IFERROR(G126,"")</f>
        <v/>
      </c>
      <c r="H127" s="886" t="s">
        <v>1040</v>
      </c>
    </row>
    <row r="128" spans="2:10">
      <c r="B128" s="905"/>
      <c r="D128" s="886" t="s">
        <v>263</v>
      </c>
      <c r="F128" s="886" t="s">
        <v>1818</v>
      </c>
      <c r="G128" s="886" t="str" cm="1">
        <f t="array" ref="G128">IFERROR(_xlfn.XLOOKUP(1,('Input import'!$B:$B='Facilitatory data'!$D128)*('Input import'!$A:$A='Facilitatory data'!G$3),'Input import'!$D:$D),"")</f>
        <v/>
      </c>
      <c r="H128" s="886" t="s">
        <v>1040</v>
      </c>
    </row>
    <row r="129" spans="2:8">
      <c r="B129" s="905"/>
      <c r="D129" s="886" t="s">
        <v>1042</v>
      </c>
      <c r="F129" s="886" t="s">
        <v>1821</v>
      </c>
      <c r="G129" s="886" t="str">
        <f>IFERROR(G128,"")</f>
        <v/>
      </c>
      <c r="H129" s="886" t="s">
        <v>1040</v>
      </c>
    </row>
    <row r="130" spans="2:8">
      <c r="B130" s="905"/>
      <c r="D130" s="886" t="s">
        <v>1043</v>
      </c>
      <c r="E130" s="886" t="s">
        <v>1043</v>
      </c>
      <c r="F130" s="886" t="s">
        <v>1821</v>
      </c>
      <c r="G130" s="892">
        <f t="shared" ref="G130:G136" si="1">IFERROR(G100*G116*2,0)</f>
        <v>0</v>
      </c>
      <c r="H130" s="886" t="s">
        <v>1044</v>
      </c>
    </row>
    <row r="131" spans="2:8">
      <c r="B131" s="905"/>
      <c r="D131" s="886" t="s">
        <v>1045</v>
      </c>
      <c r="E131" s="886" t="s">
        <v>1045</v>
      </c>
      <c r="F131" s="886" t="s">
        <v>1821</v>
      </c>
      <c r="G131" s="892">
        <f t="shared" si="1"/>
        <v>0</v>
      </c>
      <c r="H131" s="886" t="s">
        <v>1044</v>
      </c>
    </row>
    <row r="132" spans="2:8">
      <c r="B132" s="905"/>
      <c r="D132" s="886" t="s">
        <v>1046</v>
      </c>
      <c r="E132" s="886" t="s">
        <v>1046</v>
      </c>
      <c r="F132" s="886" t="s">
        <v>1821</v>
      </c>
      <c r="G132" s="892">
        <f t="shared" si="1"/>
        <v>0</v>
      </c>
      <c r="H132" s="886" t="s">
        <v>1044</v>
      </c>
    </row>
    <row r="133" spans="2:8">
      <c r="B133" s="905"/>
      <c r="D133" s="886" t="s">
        <v>1047</v>
      </c>
      <c r="E133" s="886" t="s">
        <v>1047</v>
      </c>
      <c r="F133" s="886" t="s">
        <v>1821</v>
      </c>
      <c r="G133" s="892">
        <f t="shared" si="1"/>
        <v>0</v>
      </c>
      <c r="H133" s="886" t="s">
        <v>1044</v>
      </c>
    </row>
    <row r="134" spans="2:8">
      <c r="B134" s="905"/>
      <c r="D134" s="886" t="s">
        <v>1048</v>
      </c>
      <c r="E134" s="886" t="s">
        <v>1048</v>
      </c>
      <c r="F134" s="886" t="s">
        <v>1821</v>
      </c>
      <c r="G134" s="892">
        <f t="shared" si="1"/>
        <v>0</v>
      </c>
      <c r="H134" s="886" t="s">
        <v>1044</v>
      </c>
    </row>
    <row r="135" spans="2:8">
      <c r="B135" s="905"/>
      <c r="D135" s="886" t="s">
        <v>1049</v>
      </c>
      <c r="E135" s="886" t="s">
        <v>1049</v>
      </c>
      <c r="F135" s="886" t="s">
        <v>1821</v>
      </c>
      <c r="G135" s="892">
        <f t="shared" si="1"/>
        <v>0</v>
      </c>
      <c r="H135" s="886" t="s">
        <v>1044</v>
      </c>
    </row>
    <row r="136" spans="2:8">
      <c r="B136" s="905"/>
      <c r="D136" s="886" t="s">
        <v>1050</v>
      </c>
      <c r="E136" s="886" t="s">
        <v>1050</v>
      </c>
      <c r="F136" s="886" t="s">
        <v>1821</v>
      </c>
      <c r="G136" s="892">
        <f t="shared" si="1"/>
        <v>0</v>
      </c>
      <c r="H136" s="886" t="s">
        <v>1044</v>
      </c>
    </row>
    <row r="137" spans="2:8">
      <c r="B137" s="905"/>
      <c r="D137" s="886" t="s">
        <v>1051</v>
      </c>
      <c r="E137" s="886" t="s">
        <v>1051</v>
      </c>
      <c r="F137" s="886" t="s">
        <v>1821</v>
      </c>
      <c r="G137" s="892">
        <f>IFERROR(G107*G123*2,0)</f>
        <v>0</v>
      </c>
      <c r="H137" s="886" t="s">
        <v>1044</v>
      </c>
    </row>
    <row r="138" spans="2:8">
      <c r="B138" s="905"/>
      <c r="D138" s="886" t="s">
        <v>1052</v>
      </c>
      <c r="E138" s="886" t="s">
        <v>1052</v>
      </c>
      <c r="F138" s="886" t="s">
        <v>1821</v>
      </c>
      <c r="G138" s="892">
        <f>IFERROR(G108*G124*2,0)</f>
        <v>0</v>
      </c>
      <c r="H138" s="886" t="s">
        <v>1044</v>
      </c>
    </row>
    <row r="139" spans="2:8">
      <c r="B139" s="905"/>
      <c r="D139" s="886" t="s">
        <v>1053</v>
      </c>
      <c r="E139" s="886" t="s">
        <v>1053</v>
      </c>
      <c r="F139" s="886" t="s">
        <v>1821</v>
      </c>
      <c r="G139" s="892">
        <f>IFERROR(G109*G125*2,0)</f>
        <v>0</v>
      </c>
      <c r="H139" s="886" t="s">
        <v>1044</v>
      </c>
    </row>
    <row r="140" spans="2:8">
      <c r="B140" s="905"/>
      <c r="D140" s="886" t="s">
        <v>1054</v>
      </c>
      <c r="E140" s="886" t="s">
        <v>1054</v>
      </c>
      <c r="F140" s="886" t="s">
        <v>1821</v>
      </c>
      <c r="G140" s="892">
        <f>IFERROR(G111*G126*2,0)</f>
        <v>0</v>
      </c>
      <c r="H140" s="886" t="s">
        <v>1044</v>
      </c>
    </row>
    <row r="141" spans="2:8">
      <c r="B141" s="905"/>
      <c r="D141" s="886" t="s">
        <v>1055</v>
      </c>
      <c r="E141" s="886" t="s">
        <v>1055</v>
      </c>
      <c r="F141" s="886" t="s">
        <v>1821</v>
      </c>
      <c r="G141" s="892">
        <f>IFERROR(G112*G127*2,0)</f>
        <v>0</v>
      </c>
      <c r="H141" s="886" t="s">
        <v>1044</v>
      </c>
    </row>
    <row r="142" spans="2:8">
      <c r="B142" s="905"/>
      <c r="D142" s="886" t="s">
        <v>1056</v>
      </c>
      <c r="E142" s="886" t="s">
        <v>1056</v>
      </c>
      <c r="F142" s="886" t="s">
        <v>1821</v>
      </c>
      <c r="G142" s="892">
        <f>IFERROR(G114*G128*2,0)</f>
        <v>0</v>
      </c>
      <c r="H142" s="886" t="s">
        <v>1044</v>
      </c>
    </row>
    <row r="143" spans="2:8">
      <c r="B143" s="905"/>
      <c r="D143" s="886" t="s">
        <v>1057</v>
      </c>
      <c r="E143" s="886" t="s">
        <v>1057</v>
      </c>
      <c r="F143" s="886" t="s">
        <v>1821</v>
      </c>
      <c r="G143" s="892">
        <f>IFERROR(G115*G129*2,0)</f>
        <v>0</v>
      </c>
      <c r="H143" s="886" t="s">
        <v>1044</v>
      </c>
    </row>
    <row r="144" spans="2:8">
      <c r="B144" s="905"/>
      <c r="G144" s="892"/>
    </row>
    <row r="145" spans="2:8">
      <c r="B145" s="905"/>
      <c r="D145" s="886" t="s">
        <v>269</v>
      </c>
      <c r="F145" s="886" t="s">
        <v>1818</v>
      </c>
      <c r="G145" s="886" t="str" cm="1">
        <f t="array" ref="G145">IFERROR(_xlfn.XLOOKUP(1,('Input import'!$B:$B='Facilitatory data'!$D145)*('Input import'!$A:$A='Facilitatory data'!G$3),'Input import'!$D:$D),"")</f>
        <v/>
      </c>
      <c r="H145" s="886" t="s">
        <v>1001</v>
      </c>
    </row>
    <row r="146" spans="2:8">
      <c r="B146" s="905"/>
      <c r="D146" s="886" t="s">
        <v>272</v>
      </c>
      <c r="F146" s="886" t="s">
        <v>1818</v>
      </c>
      <c r="G146" s="886" t="str" cm="1">
        <f t="array" ref="G146">IFERROR(_xlfn.XLOOKUP(1,('Input import'!$B:$B='Facilitatory data'!$D146)*('Input import'!$A:$A='Facilitatory data'!G$3),'Input import'!$D:$D),"")</f>
        <v/>
      </c>
      <c r="H146" s="886" t="s">
        <v>1001</v>
      </c>
    </row>
    <row r="147" spans="2:8">
      <c r="B147" s="905"/>
      <c r="D147" s="886" t="s">
        <v>275</v>
      </c>
      <c r="F147" s="886" t="s">
        <v>1818</v>
      </c>
      <c r="G147" s="886" t="str" cm="1">
        <f t="array" ref="G147">IFERROR(_xlfn.XLOOKUP(1,('Input import'!$B:$B='Facilitatory data'!$D147)*('Input import'!$A:$A='Facilitatory data'!G$3),'Input import'!$D:$D),"")</f>
        <v/>
      </c>
      <c r="H147" s="886" t="s">
        <v>1001</v>
      </c>
    </row>
    <row r="148" spans="2:8">
      <c r="B148" s="905"/>
      <c r="D148" s="886" t="s">
        <v>278</v>
      </c>
      <c r="F148" s="886" t="s">
        <v>1818</v>
      </c>
      <c r="G148" s="886" t="str" cm="1">
        <f t="array" ref="G148">IFERROR(_xlfn.XLOOKUP(1,('Input import'!$B:$B='Facilitatory data'!$D148)*('Input import'!$A:$A='Facilitatory data'!G$3),'Input import'!$D:$D),"")</f>
        <v/>
      </c>
      <c r="H148" s="886" t="s">
        <v>1001</v>
      </c>
    </row>
    <row r="149" spans="2:8">
      <c r="B149" s="905"/>
      <c r="D149" s="886" t="s">
        <v>281</v>
      </c>
      <c r="F149" s="886" t="s">
        <v>1818</v>
      </c>
      <c r="G149" s="886" t="str" cm="1">
        <f t="array" ref="G149">IFERROR(_xlfn.XLOOKUP(1,('Input import'!$B:$B='Facilitatory data'!$D149)*('Input import'!$A:$A='Facilitatory data'!G$3),'Input import'!$D:$D),"")</f>
        <v/>
      </c>
      <c r="H149" s="886" t="s">
        <v>1001</v>
      </c>
    </row>
    <row r="150" spans="2:8">
      <c r="B150" s="905"/>
      <c r="D150" s="886" t="s">
        <v>285</v>
      </c>
      <c r="F150" s="886" t="s">
        <v>1818</v>
      </c>
      <c r="G150" s="886" t="str" cm="1">
        <f t="array" ref="G150">IFERROR(_xlfn.XLOOKUP(1,('Input import'!$B:$B='Facilitatory data'!$D150)*('Input import'!$A:$A='Facilitatory data'!G$3),'Input import'!$D:$D),"")</f>
        <v/>
      </c>
      <c r="H150" s="886" t="s">
        <v>1001</v>
      </c>
    </row>
    <row r="151" spans="2:8">
      <c r="B151" s="905"/>
      <c r="D151" s="886" t="s">
        <v>288</v>
      </c>
      <c r="F151" s="886" t="s">
        <v>1818</v>
      </c>
      <c r="G151" s="886" t="str" cm="1">
        <f t="array" ref="G151">IFERROR(_xlfn.XLOOKUP(1,('Input import'!$B:$B='Facilitatory data'!$D151)*('Input import'!$A:$A='Facilitatory data'!G$3),'Input import'!$D:$D),"")</f>
        <v/>
      </c>
      <c r="H151" s="886" t="s">
        <v>1001</v>
      </c>
    </row>
    <row r="152" spans="2:8">
      <c r="B152" s="905"/>
      <c r="D152" s="886" t="s">
        <v>291</v>
      </c>
      <c r="F152" s="886" t="s">
        <v>1818</v>
      </c>
      <c r="G152" s="886" t="str" cm="1">
        <f t="array" ref="G152">IFERROR(_xlfn.XLOOKUP(1,('Input import'!$B:$B='Facilitatory data'!$D152)*('Input import'!$A:$A='Facilitatory data'!G$3),'Input import'!$D:$D),"")</f>
        <v/>
      </c>
      <c r="H152" s="886" t="s">
        <v>1001</v>
      </c>
    </row>
    <row r="153" spans="2:8">
      <c r="B153" s="905"/>
      <c r="D153" s="886" t="s">
        <v>294</v>
      </c>
      <c r="F153" s="886" t="s">
        <v>1818</v>
      </c>
      <c r="G153" s="886" t="str" cm="1">
        <f t="array" ref="G153">IFERROR(_xlfn.XLOOKUP(1,('Input import'!$B:$B='Facilitatory data'!$D153)*('Input import'!$A:$A='Facilitatory data'!G$3),'Input import'!$D:$D),"")</f>
        <v/>
      </c>
      <c r="H153" s="886" t="s">
        <v>1001</v>
      </c>
    </row>
    <row r="154" spans="2:8">
      <c r="B154" s="905"/>
      <c r="D154" s="886" t="s">
        <v>297</v>
      </c>
      <c r="F154" s="886" t="s">
        <v>1818</v>
      </c>
      <c r="G154" s="886" t="str" cm="1">
        <f t="array" ref="G154">IFERROR(_xlfn.XLOOKUP(1,('Input import'!$B:$B='Facilitatory data'!$D154)*('Input import'!$A:$A='Facilitatory data'!G$3),'Input import'!$D:$D),"")</f>
        <v/>
      </c>
      <c r="H154" s="886" t="s">
        <v>1001</v>
      </c>
    </row>
    <row r="155" spans="2:8">
      <c r="B155" s="905"/>
      <c r="D155" s="886" t="s">
        <v>304</v>
      </c>
      <c r="F155" s="886" t="s">
        <v>1818</v>
      </c>
      <c r="G155" s="886" t="str" cm="1">
        <f t="array" ref="G155">IFERROR(_xlfn.XLOOKUP(1,('Input import'!$B:$B='Facilitatory data'!$D155)*('Input import'!$A:$A='Facilitatory data'!G$3),'Input import'!$D:$D),"")</f>
        <v/>
      </c>
      <c r="H155" s="886" t="s">
        <v>1025</v>
      </c>
    </row>
    <row r="156" spans="2:8">
      <c r="B156" s="905"/>
      <c r="D156" s="886" t="s">
        <v>308</v>
      </c>
      <c r="F156" s="886" t="s">
        <v>1818</v>
      </c>
      <c r="G156" s="886" t="str" cm="1">
        <f t="array" ref="G156">IFERROR(_xlfn.XLOOKUP(1,('Input import'!$B:$B='Facilitatory data'!$D156)*('Input import'!$A:$A='Facilitatory data'!G$3),'Input import'!$D:$D),"")</f>
        <v/>
      </c>
      <c r="H156" s="886" t="s">
        <v>1001</v>
      </c>
    </row>
    <row r="157" spans="2:8">
      <c r="B157" s="905"/>
      <c r="D157" s="886" t="s">
        <v>1058</v>
      </c>
      <c r="F157" s="886" t="s">
        <v>1821</v>
      </c>
      <c r="G157" s="892" t="str">
        <f t="shared" ref="G157:G166" si="2">IFERROR($G$22*G145,"")</f>
        <v/>
      </c>
      <c r="H157" s="886" t="s">
        <v>997</v>
      </c>
    </row>
    <row r="158" spans="2:8">
      <c r="B158" s="905"/>
      <c r="D158" s="886" t="s">
        <v>1059</v>
      </c>
      <c r="F158" s="886" t="s">
        <v>1821</v>
      </c>
      <c r="G158" s="892" t="str">
        <f t="shared" si="2"/>
        <v/>
      </c>
      <c r="H158" s="886" t="s">
        <v>997</v>
      </c>
    </row>
    <row r="159" spans="2:8">
      <c r="B159" s="905"/>
      <c r="D159" s="886" t="s">
        <v>1060</v>
      </c>
      <c r="F159" s="886" t="s">
        <v>1821</v>
      </c>
      <c r="G159" s="892" t="str">
        <f t="shared" si="2"/>
        <v/>
      </c>
      <c r="H159" s="886" t="s">
        <v>997</v>
      </c>
    </row>
    <row r="160" spans="2:8">
      <c r="B160" s="905"/>
      <c r="D160" s="886" t="s">
        <v>1061</v>
      </c>
      <c r="F160" s="886" t="s">
        <v>1821</v>
      </c>
      <c r="G160" s="892" t="str">
        <f t="shared" si="2"/>
        <v/>
      </c>
      <c r="H160" s="886" t="s">
        <v>997</v>
      </c>
    </row>
    <row r="161" spans="2:8">
      <c r="B161" s="905"/>
      <c r="D161" s="886" t="s">
        <v>1062</v>
      </c>
      <c r="F161" s="886" t="s">
        <v>1821</v>
      </c>
      <c r="G161" s="892" t="str">
        <f t="shared" si="2"/>
        <v/>
      </c>
      <c r="H161" s="886" t="s">
        <v>997</v>
      </c>
    </row>
    <row r="162" spans="2:8">
      <c r="B162" s="905"/>
      <c r="D162" s="886" t="s">
        <v>1063</v>
      </c>
      <c r="F162" s="886" t="s">
        <v>1821</v>
      </c>
      <c r="G162" s="892" t="str">
        <f t="shared" si="2"/>
        <v/>
      </c>
      <c r="H162" s="886" t="s">
        <v>997</v>
      </c>
    </row>
    <row r="163" spans="2:8">
      <c r="B163" s="905"/>
      <c r="D163" s="886" t="s">
        <v>1064</v>
      </c>
      <c r="F163" s="886" t="s">
        <v>1821</v>
      </c>
      <c r="G163" s="892" t="str">
        <f t="shared" si="2"/>
        <v/>
      </c>
      <c r="H163" s="886" t="s">
        <v>997</v>
      </c>
    </row>
    <row r="164" spans="2:8">
      <c r="B164" s="905"/>
      <c r="D164" s="886" t="s">
        <v>1065</v>
      </c>
      <c r="F164" s="886" t="s">
        <v>1821</v>
      </c>
      <c r="G164" s="892" t="str">
        <f t="shared" si="2"/>
        <v/>
      </c>
      <c r="H164" s="886" t="s">
        <v>997</v>
      </c>
    </row>
    <row r="165" spans="2:8">
      <c r="B165" s="905"/>
      <c r="D165" s="886" t="s">
        <v>1066</v>
      </c>
      <c r="F165" s="886" t="s">
        <v>1821</v>
      </c>
      <c r="G165" s="892" t="str">
        <f t="shared" si="2"/>
        <v/>
      </c>
      <c r="H165" s="886" t="s">
        <v>997</v>
      </c>
    </row>
    <row r="166" spans="2:8">
      <c r="B166" s="905"/>
      <c r="D166" s="886" t="s">
        <v>1067</v>
      </c>
      <c r="F166" s="886" t="s">
        <v>1821</v>
      </c>
      <c r="G166" s="892" t="str">
        <f t="shared" si="2"/>
        <v/>
      </c>
      <c r="H166" s="886" t="s">
        <v>997</v>
      </c>
    </row>
    <row r="167" spans="2:8">
      <c r="B167" s="905"/>
      <c r="D167" s="886" t="s">
        <v>301</v>
      </c>
      <c r="F167" s="886" t="s">
        <v>1818</v>
      </c>
      <c r="G167" s="886" t="str" cm="1">
        <f t="array" ref="G167">IFERROR(_xlfn.XLOOKUP(1,('Input import'!$B:$B='Facilitatory data'!$D167)*('Input import'!$A:$A='Facilitatory data'!G$3),'Input import'!$D:$D),"")</f>
        <v/>
      </c>
      <c r="H167" s="886" t="s">
        <v>997</v>
      </c>
    </row>
    <row r="168" spans="2:8">
      <c r="B168" s="905"/>
      <c r="D168" s="886" t="s">
        <v>1068</v>
      </c>
      <c r="F168" s="886" t="s">
        <v>1821</v>
      </c>
      <c r="G168" s="892" t="str">
        <f>IFERROR(G167*(1-G155),"")</f>
        <v/>
      </c>
      <c r="H168" s="886" t="s">
        <v>997</v>
      </c>
    </row>
    <row r="169" spans="2:8">
      <c r="B169" s="905"/>
      <c r="D169" s="886" t="s">
        <v>1069</v>
      </c>
      <c r="F169" s="886" t="s">
        <v>1821</v>
      </c>
      <c r="G169" s="892" t="str">
        <f>IFERROR(G167*(G155),"")</f>
        <v/>
      </c>
      <c r="H169" s="886" t="s">
        <v>997</v>
      </c>
    </row>
    <row r="170" spans="2:8">
      <c r="B170" s="905"/>
      <c r="D170" s="886" t="s">
        <v>305</v>
      </c>
      <c r="F170" s="886" t="s">
        <v>1818</v>
      </c>
      <c r="G170" s="886" t="str" cm="1">
        <f t="array" ref="G170">IFERROR(_xlfn.XLOOKUP(1,('Input import'!$B:$B='Facilitatory data'!$D170)*('Input import'!$A:$A='Facilitatory data'!G$3),'Input import'!$D:$D),"")</f>
        <v/>
      </c>
      <c r="H170" s="886" t="s">
        <v>997</v>
      </c>
    </row>
    <row r="171" spans="2:8">
      <c r="B171" s="905"/>
      <c r="D171" s="886" t="s">
        <v>1070</v>
      </c>
      <c r="F171" s="886" t="s">
        <v>1821</v>
      </c>
      <c r="G171" s="886" t="str">
        <f>IFERROR(G170*(1-G156),"")</f>
        <v/>
      </c>
      <c r="H171" s="886" t="s">
        <v>997</v>
      </c>
    </row>
    <row r="172" spans="2:8">
      <c r="B172" s="905"/>
      <c r="D172" s="886" t="s">
        <v>1071</v>
      </c>
      <c r="F172" s="886" t="s">
        <v>1821</v>
      </c>
      <c r="G172" s="886" t="str">
        <f>IFERROR(G170*(G156),"")</f>
        <v/>
      </c>
      <c r="H172" s="886" t="s">
        <v>997</v>
      </c>
    </row>
    <row r="173" spans="2:8">
      <c r="B173" s="905"/>
      <c r="D173" s="886" t="s">
        <v>271</v>
      </c>
      <c r="F173" s="886" t="s">
        <v>1818</v>
      </c>
      <c r="G173" s="886" cm="1">
        <f t="array" ref="G173">IFERROR(IF(_xlfn.XLOOKUP(1,('Input import'!$B:$B='Facilitatory data'!$D173)*('Input import'!$A:$A='Facilitatory data'!G$3),'Input import'!$D:$D)=0,7.5,_xlfn.XLOOKUP(1,('Input import'!$B:$B='Facilitatory data'!$D173)*('Input import'!$A:$A='Facilitatory data'!G$3),'Input import'!$D:$D)),7.5)</f>
        <v>7.5</v>
      </c>
      <c r="H173" s="886" t="s">
        <v>1040</v>
      </c>
    </row>
    <row r="174" spans="2:8">
      <c r="B174" s="905"/>
      <c r="D174" s="886" t="s">
        <v>274</v>
      </c>
      <c r="F174" s="886" t="s">
        <v>1818</v>
      </c>
      <c r="G174" s="886" cm="1">
        <f t="array" ref="G174">IFERROR(IF(_xlfn.XLOOKUP(1,('Input import'!$B:$B='Facilitatory data'!$D174)*('Input import'!$A:$A='Facilitatory data'!G$3),'Input import'!$D:$D)=0,7.5,_xlfn.XLOOKUP(1,('Input import'!$B:$B='Facilitatory data'!$D174)*('Input import'!$A:$A='Facilitatory data'!G$3),'Input import'!$D:$D)),7.5)</f>
        <v>7.5</v>
      </c>
      <c r="H174" s="886" t="s">
        <v>1040</v>
      </c>
    </row>
    <row r="175" spans="2:8">
      <c r="B175" s="905"/>
      <c r="D175" s="886" t="s">
        <v>277</v>
      </c>
      <c r="F175" s="886" t="s">
        <v>1818</v>
      </c>
      <c r="G175" s="886" cm="1">
        <f t="array" ref="G175">IFERROR(IF(_xlfn.XLOOKUP(1,('Input import'!$B:$B='Facilitatory data'!$D175)*('Input import'!$A:$A='Facilitatory data'!G$3),'Input import'!$D:$D)=0,7.5,_xlfn.XLOOKUP(1,('Input import'!$B:$B='Facilitatory data'!$D175)*('Input import'!$A:$A='Facilitatory data'!G$3),'Input import'!$D:$D)),7.5)</f>
        <v>7.5</v>
      </c>
      <c r="H175" s="886" t="s">
        <v>1040</v>
      </c>
    </row>
    <row r="176" spans="2:8">
      <c r="B176" s="905"/>
      <c r="D176" s="886" t="s">
        <v>280</v>
      </c>
      <c r="F176" s="886" t="s">
        <v>1818</v>
      </c>
      <c r="G176" s="886" cm="1">
        <f t="array" ref="G176">IFERROR(IF(_xlfn.XLOOKUP(1,('Input import'!$B:$B='Facilitatory data'!$D176)*('Input import'!$A:$A='Facilitatory data'!G$3),'Input import'!$D:$D)=0,7.5,_xlfn.XLOOKUP(1,('Input import'!$B:$B='Facilitatory data'!$D176)*('Input import'!$A:$A='Facilitatory data'!G$3),'Input import'!$D:$D)),7.5)</f>
        <v>7.5</v>
      </c>
      <c r="H176" s="886" t="s">
        <v>1040</v>
      </c>
    </row>
    <row r="177" spans="2:8">
      <c r="B177" s="905"/>
      <c r="D177" s="886" t="s">
        <v>283</v>
      </c>
      <c r="F177" s="886" t="s">
        <v>1818</v>
      </c>
      <c r="G177" s="886" cm="1">
        <f t="array" ref="G177">IFERROR(IF(_xlfn.XLOOKUP(1,('Input import'!$B:$B='Facilitatory data'!$D177)*('Input import'!$A:$A='Facilitatory data'!G$3),'Input import'!$D:$D)=0,200,_xlfn.XLOOKUP(1,('Input import'!$B:$B='Facilitatory data'!$D177)*('Input import'!$A:$A='Facilitatory data'!G$3),'Input import'!$D:$D)),200)</f>
        <v>200</v>
      </c>
      <c r="H177" s="886" t="s">
        <v>1040</v>
      </c>
    </row>
    <row r="178" spans="2:8">
      <c r="B178" s="905"/>
      <c r="D178" s="886" t="s">
        <v>287</v>
      </c>
      <c r="F178" s="886" t="s">
        <v>1818</v>
      </c>
      <c r="G178" s="886" cm="1">
        <f t="array" ref="G178">IFERROR(IF(_xlfn.XLOOKUP(1,('Input import'!$B:$B='Facilitatory data'!$D178)*('Input import'!$A:$A='Facilitatory data'!G$3),'Input import'!$D:$D)=0,200,_xlfn.XLOOKUP(1,('Input import'!$B:$B='Facilitatory data'!$D178)*('Input import'!$A:$A='Facilitatory data'!G$3),'Input import'!$D:$D)),200)</f>
        <v>200</v>
      </c>
      <c r="H178" s="886" t="s">
        <v>1040</v>
      </c>
    </row>
    <row r="179" spans="2:8">
      <c r="B179" s="905"/>
      <c r="D179" s="886" t="s">
        <v>290</v>
      </c>
      <c r="F179" s="886" t="s">
        <v>1818</v>
      </c>
      <c r="G179" s="886" cm="1">
        <f t="array" ref="G179">IFERROR(IF(_xlfn.XLOOKUP(1,('Input import'!$B:$B='Facilitatory data'!$D179)*('Input import'!$A:$A='Facilitatory data'!G$3),'Input import'!$D:$D)=0,200,_xlfn.XLOOKUP(1,('Input import'!$B:$B='Facilitatory data'!$D179)*('Input import'!$A:$A='Facilitatory data'!G$3),'Input import'!$D:$D)),200)</f>
        <v>200</v>
      </c>
      <c r="H179" s="886" t="s">
        <v>1040</v>
      </c>
    </row>
    <row r="180" spans="2:8">
      <c r="B180" s="905"/>
      <c r="D180" s="886" t="s">
        <v>293</v>
      </c>
      <c r="F180" s="886" t="s">
        <v>1818</v>
      </c>
      <c r="G180" s="886" cm="1">
        <f t="array" ref="G180">IFERROR(IF(_xlfn.XLOOKUP(1,('Input import'!$B:$B='Facilitatory data'!$D180)*('Input import'!$A:$A='Facilitatory data'!G$3),'Input import'!$D:$D)=0,200,_xlfn.XLOOKUP(1,('Input import'!$B:$B='Facilitatory data'!$D180)*('Input import'!$A:$A='Facilitatory data'!G$3),'Input import'!$D:$D)),200)</f>
        <v>200</v>
      </c>
      <c r="H180" s="886" t="s">
        <v>1040</v>
      </c>
    </row>
    <row r="181" spans="2:8">
      <c r="B181" s="905"/>
      <c r="D181" s="886" t="s">
        <v>296</v>
      </c>
      <c r="F181" s="886" t="s">
        <v>1818</v>
      </c>
      <c r="G181" s="886" cm="1">
        <f t="array" ref="G181">IFERROR(IF(_xlfn.XLOOKUP(1,('Input import'!$B:$B='Facilitatory data'!$D181)*('Input import'!$A:$A='Facilitatory data'!G$3),'Input import'!$D:$D)=0,200,_xlfn.XLOOKUP(1,('Input import'!$B:$B='Facilitatory data'!$D181)*('Input import'!$A:$A='Facilitatory data'!G$3),'Input import'!$D:$D)),200)</f>
        <v>200</v>
      </c>
      <c r="H181" s="886" t="s">
        <v>1040</v>
      </c>
    </row>
    <row r="182" spans="2:8">
      <c r="B182" s="905"/>
      <c r="D182" s="886" t="s">
        <v>299</v>
      </c>
      <c r="F182" s="886" t="s">
        <v>1818</v>
      </c>
      <c r="G182" s="886" cm="1">
        <f t="array" ref="G182">IFERROR(IF(_xlfn.XLOOKUP(1,('Input import'!$B:$B='Facilitatory data'!$D182)*('Input import'!$A:$A='Facilitatory data'!G$3),'Input import'!$D:$D)=0,2500,_xlfn.XLOOKUP(1,('Input import'!$B:$B='Facilitatory data'!$D182)*('Input import'!$A:$A='Facilitatory data'!G$3),'Input import'!$D:$D)),2500)</f>
        <v>2500</v>
      </c>
      <c r="H182" s="886" t="s">
        <v>1040</v>
      </c>
    </row>
    <row r="183" spans="2:8">
      <c r="B183" s="905"/>
      <c r="D183" s="886" t="s">
        <v>302</v>
      </c>
      <c r="F183" s="886" t="s">
        <v>1818</v>
      </c>
      <c r="G183" s="886" t="str" cm="1">
        <f t="array" ref="G183">IFERROR(_xlfn.XLOOKUP(1,('Input import'!$B:$B='Facilitatory data'!$D183)*('Input import'!$A:$A='Facilitatory data'!G$3),'Input import'!$D:$D),"")</f>
        <v/>
      </c>
      <c r="H183" s="886" t="s">
        <v>1040</v>
      </c>
    </row>
    <row r="184" spans="2:8">
      <c r="B184" s="905"/>
      <c r="D184" s="886" t="s">
        <v>1072</v>
      </c>
      <c r="F184" s="886" t="s">
        <v>1821</v>
      </c>
      <c r="G184" s="886" t="str">
        <f>IFERROR(G183,"")</f>
        <v/>
      </c>
      <c r="H184" s="886" t="s">
        <v>1040</v>
      </c>
    </row>
    <row r="185" spans="2:8">
      <c r="B185" s="905"/>
      <c r="D185" s="886" t="s">
        <v>306</v>
      </c>
      <c r="F185" s="886" t="s">
        <v>1818</v>
      </c>
      <c r="G185" s="886" t="str" cm="1">
        <f t="array" ref="G185">IFERROR(_xlfn.XLOOKUP(1,('Input import'!$B:$B='Facilitatory data'!$D185)*('Input import'!$A:$A='Facilitatory data'!G$3),'Input import'!$D:$D),"")</f>
        <v/>
      </c>
      <c r="H185" s="886" t="s">
        <v>1040</v>
      </c>
    </row>
    <row r="186" spans="2:8">
      <c r="B186" s="905"/>
      <c r="D186" s="886" t="s">
        <v>1073</v>
      </c>
      <c r="F186" s="886" t="s">
        <v>1821</v>
      </c>
      <c r="G186" s="886" t="str">
        <f>IFERROR(G185,"")</f>
        <v/>
      </c>
      <c r="H186" s="886" t="s">
        <v>1040</v>
      </c>
    </row>
    <row r="187" spans="2:8">
      <c r="B187" s="905"/>
      <c r="D187" s="886" t="s">
        <v>1074</v>
      </c>
      <c r="E187" s="886" t="s">
        <v>1074</v>
      </c>
      <c r="F187" s="886" t="s">
        <v>1821</v>
      </c>
      <c r="G187" s="892">
        <f t="shared" ref="G187:G196" si="3">IFERROR(G157*G173,0)</f>
        <v>0</v>
      </c>
      <c r="H187" s="886" t="s">
        <v>1044</v>
      </c>
    </row>
    <row r="188" spans="2:8">
      <c r="B188" s="905"/>
      <c r="D188" s="886" t="s">
        <v>1075</v>
      </c>
      <c r="E188" s="886" t="s">
        <v>1075</v>
      </c>
      <c r="F188" s="886" t="s">
        <v>1821</v>
      </c>
      <c r="G188" s="892">
        <f t="shared" si="3"/>
        <v>0</v>
      </c>
      <c r="H188" s="886" t="s">
        <v>1044</v>
      </c>
    </row>
    <row r="189" spans="2:8">
      <c r="B189" s="905"/>
      <c r="D189" s="886" t="s">
        <v>1076</v>
      </c>
      <c r="E189" s="886" t="s">
        <v>1076</v>
      </c>
      <c r="F189" s="886" t="s">
        <v>1821</v>
      </c>
      <c r="G189" s="892">
        <f t="shared" si="3"/>
        <v>0</v>
      </c>
      <c r="H189" s="886" t="s">
        <v>1044</v>
      </c>
    </row>
    <row r="190" spans="2:8">
      <c r="B190" s="905"/>
      <c r="D190" s="886" t="s">
        <v>1077</v>
      </c>
      <c r="E190" s="886" t="s">
        <v>1077</v>
      </c>
      <c r="F190" s="886" t="s">
        <v>1821</v>
      </c>
      <c r="G190" s="892">
        <f t="shared" si="3"/>
        <v>0</v>
      </c>
      <c r="H190" s="886" t="s">
        <v>1044</v>
      </c>
    </row>
    <row r="191" spans="2:8">
      <c r="B191" s="905"/>
      <c r="D191" s="886" t="s">
        <v>1078</v>
      </c>
      <c r="E191" s="886" t="s">
        <v>1078</v>
      </c>
      <c r="F191" s="886" t="s">
        <v>1821</v>
      </c>
      <c r="G191" s="892">
        <f t="shared" si="3"/>
        <v>0</v>
      </c>
      <c r="H191" s="886" t="s">
        <v>1044</v>
      </c>
    </row>
    <row r="192" spans="2:8">
      <c r="B192" s="905"/>
      <c r="D192" s="886" t="s">
        <v>1079</v>
      </c>
      <c r="E192" s="886" t="s">
        <v>1079</v>
      </c>
      <c r="F192" s="886" t="s">
        <v>1821</v>
      </c>
      <c r="G192" s="892">
        <f t="shared" si="3"/>
        <v>0</v>
      </c>
      <c r="H192" s="886" t="s">
        <v>1044</v>
      </c>
    </row>
    <row r="193" spans="2:8">
      <c r="B193" s="905"/>
      <c r="D193" s="886" t="s">
        <v>1080</v>
      </c>
      <c r="E193" s="886" t="s">
        <v>1080</v>
      </c>
      <c r="F193" s="886" t="s">
        <v>1821</v>
      </c>
      <c r="G193" s="892">
        <f t="shared" si="3"/>
        <v>0</v>
      </c>
      <c r="H193" s="886" t="s">
        <v>1044</v>
      </c>
    </row>
    <row r="194" spans="2:8">
      <c r="B194" s="905"/>
      <c r="D194" s="886" t="s">
        <v>1081</v>
      </c>
      <c r="E194" s="886" t="s">
        <v>1081</v>
      </c>
      <c r="F194" s="886" t="s">
        <v>1821</v>
      </c>
      <c r="G194" s="892">
        <f t="shared" si="3"/>
        <v>0</v>
      </c>
      <c r="H194" s="886" t="s">
        <v>1044</v>
      </c>
    </row>
    <row r="195" spans="2:8">
      <c r="B195" s="905"/>
      <c r="D195" s="886" t="s">
        <v>1082</v>
      </c>
      <c r="E195" s="886" t="s">
        <v>1082</v>
      </c>
      <c r="F195" s="886" t="s">
        <v>1821</v>
      </c>
      <c r="G195" s="892">
        <f t="shared" si="3"/>
        <v>0</v>
      </c>
      <c r="H195" s="886" t="s">
        <v>1044</v>
      </c>
    </row>
    <row r="196" spans="2:8">
      <c r="B196" s="905"/>
      <c r="D196" s="886" t="s">
        <v>1083</v>
      </c>
      <c r="E196" s="886" t="s">
        <v>1083</v>
      </c>
      <c r="F196" s="886" t="s">
        <v>1821</v>
      </c>
      <c r="G196" s="892">
        <f t="shared" si="3"/>
        <v>0</v>
      </c>
      <c r="H196" s="886" t="s">
        <v>1044</v>
      </c>
    </row>
    <row r="197" spans="2:8">
      <c r="B197" s="905"/>
      <c r="D197" s="886" t="s">
        <v>1084</v>
      </c>
      <c r="E197" s="886" t="s">
        <v>1084</v>
      </c>
      <c r="F197" s="886" t="s">
        <v>1821</v>
      </c>
      <c r="G197" s="892">
        <f>IFERROR(G168*G183,0)</f>
        <v>0</v>
      </c>
      <c r="H197" s="886" t="s">
        <v>1044</v>
      </c>
    </row>
    <row r="198" spans="2:8">
      <c r="B198" s="905"/>
      <c r="D198" s="886" t="s">
        <v>1085</v>
      </c>
      <c r="E198" s="886" t="s">
        <v>1085</v>
      </c>
      <c r="F198" s="886" t="s">
        <v>1821</v>
      </c>
      <c r="G198" s="892">
        <f>IFERROR(G169*G184,0)</f>
        <v>0</v>
      </c>
      <c r="H198" s="886" t="s">
        <v>1044</v>
      </c>
    </row>
    <row r="199" spans="2:8">
      <c r="B199" s="905"/>
      <c r="D199" s="886" t="s">
        <v>1086</v>
      </c>
      <c r="E199" s="886" t="s">
        <v>1086</v>
      </c>
      <c r="F199" s="886" t="s">
        <v>1821</v>
      </c>
      <c r="G199" s="892">
        <f>IFERROR(G171*G185,0)</f>
        <v>0</v>
      </c>
      <c r="H199" s="886" t="s">
        <v>1044</v>
      </c>
    </row>
    <row r="200" spans="2:8">
      <c r="B200" s="905"/>
      <c r="D200" s="886" t="s">
        <v>1087</v>
      </c>
      <c r="E200" s="886" t="s">
        <v>1087</v>
      </c>
      <c r="F200" s="886" t="s">
        <v>1821</v>
      </c>
      <c r="G200" s="892">
        <f>IFERROR(G172*G186,0)</f>
        <v>0</v>
      </c>
      <c r="H200" s="886" t="s">
        <v>1044</v>
      </c>
    </row>
    <row r="201" spans="2:8">
      <c r="B201" s="905"/>
    </row>
    <row r="202" spans="2:8">
      <c r="B202" s="905"/>
      <c r="D202" s="886" t="s">
        <v>1088</v>
      </c>
      <c r="F202" s="886" t="s">
        <v>1818</v>
      </c>
      <c r="G202" s="886" t="str" cm="1">
        <f t="array" ref="G202">IFERROR(_xlfn.XLOOKUP(1,('Input import'!$B:$B='Facilitatory data'!$D202)*('Input import'!$A:$A='Facilitatory data'!G$3),'Input import'!$D:$D),"")</f>
        <v/>
      </c>
      <c r="H202" s="886" t="s">
        <v>1001</v>
      </c>
    </row>
    <row r="203" spans="2:8">
      <c r="B203" s="905"/>
      <c r="D203" s="886" t="s">
        <v>1089</v>
      </c>
      <c r="F203" s="886" t="s">
        <v>1818</v>
      </c>
      <c r="G203" s="886" t="str" cm="1">
        <f t="array" ref="G203">IFERROR(_xlfn.XLOOKUP(1,('Input import'!$B:$B='Facilitatory data'!$D203)*('Input import'!$A:$A='Facilitatory data'!G$3),'Input import'!$D:$D),"")</f>
        <v/>
      </c>
      <c r="H203" s="886" t="s">
        <v>1001</v>
      </c>
    </row>
    <row r="204" spans="2:8">
      <c r="B204" s="905"/>
      <c r="D204" s="886" t="s">
        <v>1090</v>
      </c>
      <c r="F204" s="886" t="s">
        <v>1818</v>
      </c>
      <c r="G204" s="886" t="str" cm="1">
        <f t="array" ref="G204">IFERROR(_xlfn.XLOOKUP(1,('Input import'!$B:$B='Facilitatory data'!$D204)*('Input import'!$A:$A='Facilitatory data'!G$3),'Input import'!$D:$D),"")</f>
        <v/>
      </c>
      <c r="H204" s="886" t="s">
        <v>1001</v>
      </c>
    </row>
    <row r="205" spans="2:8">
      <c r="B205" s="905"/>
      <c r="D205" s="886" t="s">
        <v>1091</v>
      </c>
      <c r="F205" s="886" t="s">
        <v>1818</v>
      </c>
      <c r="G205" s="886" t="str" cm="1">
        <f t="array" ref="G205">IFERROR(_xlfn.XLOOKUP(1,('Input import'!$B:$B='Facilitatory data'!$D205)*('Input import'!$A:$A='Facilitatory data'!G$3),'Input import'!$D:$D),"")</f>
        <v/>
      </c>
      <c r="H205" s="886" t="s">
        <v>1001</v>
      </c>
    </row>
    <row r="206" spans="2:8">
      <c r="B206" s="905"/>
      <c r="D206" s="886" t="s">
        <v>1092</v>
      </c>
      <c r="F206" s="886" t="s">
        <v>1818</v>
      </c>
      <c r="G206" s="886" t="str" cm="1">
        <f t="array" ref="G206">IFERROR(_xlfn.XLOOKUP(1,('Input import'!$B:$B='Facilitatory data'!$D206)*('Input import'!$A:$A='Facilitatory data'!G$3),'Input import'!$D:$D),"")</f>
        <v/>
      </c>
      <c r="H206" s="886" t="s">
        <v>1001</v>
      </c>
    </row>
    <row r="207" spans="2:8">
      <c r="B207" s="905"/>
      <c r="D207" s="886" t="s">
        <v>1093</v>
      </c>
      <c r="F207" s="886" t="s">
        <v>1818</v>
      </c>
      <c r="G207" s="886" t="str" cm="1">
        <f t="array" ref="G207">IFERROR(_xlfn.XLOOKUP(1,('Input import'!$B:$B='Facilitatory data'!$D207)*('Input import'!$A:$A='Facilitatory data'!G$3),'Input import'!$D:$D),"")</f>
        <v/>
      </c>
      <c r="H207" s="886" t="s">
        <v>1001</v>
      </c>
    </row>
    <row r="208" spans="2:8">
      <c r="B208" s="905"/>
      <c r="D208" s="886" t="s">
        <v>1094</v>
      </c>
      <c r="F208" s="886" t="s">
        <v>1818</v>
      </c>
      <c r="G208" s="886" t="str" cm="1">
        <f t="array" ref="G208">IFERROR(_xlfn.XLOOKUP(1,('Input import'!$B:$B='Facilitatory data'!$D208)*('Input import'!$A:$A='Facilitatory data'!G$3),'Input import'!$D:$D),"")</f>
        <v/>
      </c>
      <c r="H208" s="886" t="s">
        <v>1001</v>
      </c>
    </row>
    <row r="209" spans="2:8">
      <c r="B209" s="905"/>
      <c r="D209" s="886" t="s">
        <v>1095</v>
      </c>
      <c r="F209" s="886" t="s">
        <v>1818</v>
      </c>
      <c r="G209" s="886" t="str" cm="1">
        <f t="array" ref="G209">IFERROR(_xlfn.XLOOKUP(1,('Input import'!$B:$B='Facilitatory data'!$D209)*('Input import'!$A:$A='Facilitatory data'!G$3),'Input import'!$D:$D),"")</f>
        <v/>
      </c>
      <c r="H209" s="886" t="s">
        <v>1001</v>
      </c>
    </row>
    <row r="210" spans="2:8">
      <c r="B210" s="905"/>
      <c r="D210" s="886" t="s">
        <v>1096</v>
      </c>
      <c r="F210" s="886" t="s">
        <v>1818</v>
      </c>
      <c r="G210" s="886" t="str" cm="1">
        <f t="array" ref="G210">IFERROR(_xlfn.XLOOKUP(1,('Input import'!$B:$B='Facilitatory data'!$D210)*('Input import'!$A:$A='Facilitatory data'!G$3),'Input import'!$D:$D),"")</f>
        <v/>
      </c>
      <c r="H210" s="886" t="s">
        <v>1001</v>
      </c>
    </row>
    <row r="211" spans="2:8">
      <c r="B211" s="905"/>
      <c r="D211" s="886" t="s">
        <v>1097</v>
      </c>
      <c r="F211" s="886" t="s">
        <v>1818</v>
      </c>
      <c r="G211" s="886" t="str" cm="1">
        <f t="array" ref="G211">IFERROR(_xlfn.XLOOKUP(1,('Input import'!$B:$B='Facilitatory data'!$D211)*('Input import'!$A:$A='Facilitatory data'!G$3),'Input import'!$D:$D),"")</f>
        <v/>
      </c>
      <c r="H211" s="886" t="s">
        <v>1001</v>
      </c>
    </row>
    <row r="212" spans="2:8">
      <c r="B212" s="905"/>
      <c r="D212" s="886" t="s">
        <v>1098</v>
      </c>
      <c r="F212" s="886" t="s">
        <v>1818</v>
      </c>
      <c r="G212" s="886" t="str" cm="1">
        <f t="array" ref="G212">IFERROR(_xlfn.XLOOKUP(1,('Input import'!$B:$B='Facilitatory data'!$D212)*('Input import'!$A:$A='Facilitatory data'!G$3),'Input import'!$D:$D),"")</f>
        <v/>
      </c>
      <c r="H212" s="886" t="s">
        <v>1025</v>
      </c>
    </row>
    <row r="213" spans="2:8">
      <c r="B213" s="905"/>
      <c r="D213" s="886" t="s">
        <v>353</v>
      </c>
      <c r="F213" s="886" t="s">
        <v>1818</v>
      </c>
      <c r="G213" s="886" t="str" cm="1">
        <f t="array" ref="G213">IFERROR(_xlfn.XLOOKUP(1,('Input import'!$B:$B='Facilitatory data'!$D213)*('Input import'!$A:$A='Facilitatory data'!G$3),'Input import'!$D:$D),"")</f>
        <v/>
      </c>
      <c r="H213" s="886" t="s">
        <v>1025</v>
      </c>
    </row>
    <row r="214" spans="2:8">
      <c r="B214" s="905"/>
      <c r="D214" s="886" t="s">
        <v>1099</v>
      </c>
      <c r="F214" s="886" t="s">
        <v>1821</v>
      </c>
      <c r="G214" s="892" t="str">
        <f t="shared" ref="G214:G223" si="4">IFERROR(($G$23+$G$24)*G202,"")</f>
        <v/>
      </c>
      <c r="H214" s="886" t="s">
        <v>997</v>
      </c>
    </row>
    <row r="215" spans="2:8">
      <c r="B215" s="905"/>
      <c r="D215" s="886" t="s">
        <v>1100</v>
      </c>
      <c r="F215" s="886" t="s">
        <v>1821</v>
      </c>
      <c r="G215" s="892" t="str">
        <f t="shared" si="4"/>
        <v/>
      </c>
      <c r="H215" s="886" t="s">
        <v>997</v>
      </c>
    </row>
    <row r="216" spans="2:8">
      <c r="B216" s="905"/>
      <c r="D216" s="886" t="s">
        <v>1101</v>
      </c>
      <c r="F216" s="886" t="s">
        <v>1821</v>
      </c>
      <c r="G216" s="892" t="str">
        <f t="shared" si="4"/>
        <v/>
      </c>
      <c r="H216" s="886" t="s">
        <v>997</v>
      </c>
    </row>
    <row r="217" spans="2:8">
      <c r="B217" s="905"/>
      <c r="D217" s="886" t="s">
        <v>1102</v>
      </c>
      <c r="F217" s="886" t="s">
        <v>1821</v>
      </c>
      <c r="G217" s="892" t="str">
        <f t="shared" si="4"/>
        <v/>
      </c>
      <c r="H217" s="886" t="s">
        <v>997</v>
      </c>
    </row>
    <row r="218" spans="2:8">
      <c r="B218" s="905"/>
      <c r="D218" s="886" t="s">
        <v>1103</v>
      </c>
      <c r="F218" s="886" t="s">
        <v>1821</v>
      </c>
      <c r="G218" s="892" t="str">
        <f t="shared" si="4"/>
        <v/>
      </c>
      <c r="H218" s="886" t="s">
        <v>997</v>
      </c>
    </row>
    <row r="219" spans="2:8">
      <c r="B219" s="905"/>
      <c r="D219" s="886" t="s">
        <v>1104</v>
      </c>
      <c r="F219" s="886" t="s">
        <v>1821</v>
      </c>
      <c r="G219" s="892" t="str">
        <f t="shared" si="4"/>
        <v/>
      </c>
      <c r="H219" s="886" t="s">
        <v>997</v>
      </c>
    </row>
    <row r="220" spans="2:8">
      <c r="B220" s="905"/>
      <c r="D220" s="886" t="s">
        <v>1105</v>
      </c>
      <c r="F220" s="886" t="s">
        <v>1821</v>
      </c>
      <c r="G220" s="892" t="str">
        <f t="shared" si="4"/>
        <v/>
      </c>
      <c r="H220" s="886" t="s">
        <v>997</v>
      </c>
    </row>
    <row r="221" spans="2:8">
      <c r="B221" s="905"/>
      <c r="D221" s="886" t="s">
        <v>1106</v>
      </c>
      <c r="F221" s="886" t="s">
        <v>1821</v>
      </c>
      <c r="G221" s="892" t="str">
        <f t="shared" si="4"/>
        <v/>
      </c>
      <c r="H221" s="886" t="s">
        <v>997</v>
      </c>
    </row>
    <row r="222" spans="2:8">
      <c r="B222" s="905"/>
      <c r="D222" s="886" t="s">
        <v>1107</v>
      </c>
      <c r="F222" s="886" t="s">
        <v>1821</v>
      </c>
      <c r="G222" s="892" t="str">
        <f t="shared" si="4"/>
        <v/>
      </c>
      <c r="H222" s="886" t="s">
        <v>997</v>
      </c>
    </row>
    <row r="223" spans="2:8">
      <c r="B223" s="905"/>
      <c r="D223" s="886" t="s">
        <v>1108</v>
      </c>
      <c r="F223" s="886" t="s">
        <v>1821</v>
      </c>
      <c r="G223" s="892" t="str">
        <f t="shared" si="4"/>
        <v/>
      </c>
      <c r="H223" s="886" t="s">
        <v>997</v>
      </c>
    </row>
    <row r="224" spans="2:8">
      <c r="B224" s="905"/>
      <c r="D224" s="886" t="s">
        <v>343</v>
      </c>
      <c r="F224" s="886" t="s">
        <v>1818</v>
      </c>
      <c r="G224" s="886" t="str" cm="1">
        <f t="array" ref="G224">IFERROR(_xlfn.XLOOKUP(1,('Input import'!$B:$B='Facilitatory data'!$D224)*('Input import'!$A:$A='Facilitatory data'!G$3),'Input import'!$D:$D),"")</f>
        <v/>
      </c>
      <c r="H224" s="886" t="s">
        <v>997</v>
      </c>
    </row>
    <row r="225" spans="2:8">
      <c r="B225" s="905"/>
      <c r="D225" s="886" t="s">
        <v>1109</v>
      </c>
      <c r="F225" s="886" t="s">
        <v>1821</v>
      </c>
      <c r="G225" s="892" t="str">
        <f>IFERROR(G224*(1-G212),"")</f>
        <v/>
      </c>
      <c r="H225" s="886" t="s">
        <v>997</v>
      </c>
    </row>
    <row r="226" spans="2:8">
      <c r="B226" s="905"/>
      <c r="D226" s="886" t="s">
        <v>1110</v>
      </c>
      <c r="F226" s="886" t="s">
        <v>1821</v>
      </c>
      <c r="G226" s="892" t="str">
        <f>IFERROR(G224*(G212),"")</f>
        <v/>
      </c>
      <c r="H226" s="886" t="s">
        <v>997</v>
      </c>
    </row>
    <row r="227" spans="2:8">
      <c r="B227" s="905"/>
      <c r="D227" s="886" t="s">
        <v>349</v>
      </c>
      <c r="F227" s="886" t="s">
        <v>1818</v>
      </c>
      <c r="G227" s="886" t="str" cm="1">
        <f t="array" ref="G227">IFERROR(_xlfn.XLOOKUP(1,('Input import'!$B:$B='Facilitatory data'!$D227)*('Input import'!$A:$A='Facilitatory data'!G$3),'Input import'!$D:$D),"")</f>
        <v/>
      </c>
      <c r="H227" s="886" t="s">
        <v>997</v>
      </c>
    </row>
    <row r="228" spans="2:8">
      <c r="B228" s="905"/>
      <c r="D228" s="886" t="s">
        <v>1111</v>
      </c>
      <c r="F228" s="886" t="s">
        <v>1821</v>
      </c>
      <c r="G228" s="886" t="str">
        <f>IFERROR(G227*(1-G213),"")</f>
        <v/>
      </c>
      <c r="H228" s="886" t="s">
        <v>997</v>
      </c>
    </row>
    <row r="229" spans="2:8">
      <c r="B229" s="905"/>
      <c r="D229" s="886" t="s">
        <v>1112</v>
      </c>
      <c r="F229" s="886" t="s">
        <v>1821</v>
      </c>
      <c r="G229" s="886" t="str">
        <f>IFERROR(G227*(G213),"")</f>
        <v/>
      </c>
      <c r="H229" s="886" t="s">
        <v>997</v>
      </c>
    </row>
    <row r="230" spans="2:8">
      <c r="B230" s="905"/>
      <c r="D230" s="886" t="s">
        <v>313</v>
      </c>
      <c r="F230" s="886" t="s">
        <v>1818</v>
      </c>
      <c r="G230" s="886" cm="1">
        <f t="array" ref="G230">IFERROR(IF(_xlfn.XLOOKUP(1,('Input import'!$B:$B='Facilitatory data'!$D230)*('Input import'!$A:$A='Facilitatory data'!G$3),'Input import'!$D:$D)=0,7.5,_xlfn.XLOOKUP(1,('Input import'!$B:$B='Facilitatory data'!$D230)*('Input import'!$A:$A='Facilitatory data'!G$3),'Input import'!$D:$D)),7.5)</f>
        <v>7.5</v>
      </c>
      <c r="H230" s="886" t="s">
        <v>1040</v>
      </c>
    </row>
    <row r="231" spans="2:8">
      <c r="B231" s="905"/>
      <c r="D231" s="886" t="s">
        <v>316</v>
      </c>
      <c r="F231" s="886" t="s">
        <v>1818</v>
      </c>
      <c r="G231" s="886" cm="1">
        <f t="array" ref="G231">IFERROR(IF(_xlfn.XLOOKUP(1,('Input import'!$B:$B='Facilitatory data'!$D231)*('Input import'!$A:$A='Facilitatory data'!G$3),'Input import'!$D:$D)=0,7.5,_xlfn.XLOOKUP(1,('Input import'!$B:$B='Facilitatory data'!$D231)*('Input import'!$A:$A='Facilitatory data'!G$3),'Input import'!$D:$D)),7.5)</f>
        <v>7.5</v>
      </c>
      <c r="H231" s="886" t="s">
        <v>1040</v>
      </c>
    </row>
    <row r="232" spans="2:8">
      <c r="B232" s="905"/>
      <c r="D232" s="886" t="s">
        <v>319</v>
      </c>
      <c r="F232" s="886" t="s">
        <v>1818</v>
      </c>
      <c r="G232" s="886" cm="1">
        <f t="array" ref="G232">IFERROR(IF(_xlfn.XLOOKUP(1,('Input import'!$B:$B='Facilitatory data'!$D232)*('Input import'!$A:$A='Facilitatory data'!G$3),'Input import'!$D:$D)=0,7.5,_xlfn.XLOOKUP(1,('Input import'!$B:$B='Facilitatory data'!$D232)*('Input import'!$A:$A='Facilitatory data'!G$3),'Input import'!$D:$D)),7.5)</f>
        <v>7.5</v>
      </c>
      <c r="H232" s="886" t="s">
        <v>1040</v>
      </c>
    </row>
    <row r="233" spans="2:8">
      <c r="B233" s="905"/>
      <c r="D233" s="886" t="s">
        <v>322</v>
      </c>
      <c r="F233" s="886" t="s">
        <v>1818</v>
      </c>
      <c r="G233" s="886" cm="1">
        <f t="array" ref="G233">IFERROR(IF(_xlfn.XLOOKUP(1,('Input import'!$B:$B='Facilitatory data'!$D233)*('Input import'!$A:$A='Facilitatory data'!G$3),'Input import'!$D:$D)=0,7.5,_xlfn.XLOOKUP(1,('Input import'!$B:$B='Facilitatory data'!$D233)*('Input import'!$A:$A='Facilitatory data'!G$3),'Input import'!$D:$D)),7.5)</f>
        <v>7.5</v>
      </c>
      <c r="H233" s="886" t="s">
        <v>1040</v>
      </c>
    </row>
    <row r="234" spans="2:8">
      <c r="B234" s="905"/>
      <c r="D234" s="886" t="s">
        <v>325</v>
      </c>
      <c r="F234" s="886" t="s">
        <v>1818</v>
      </c>
      <c r="G234" s="886" cm="1">
        <f t="array" ref="G234">IFERROR(IF(_xlfn.XLOOKUP(1,('Input import'!$B:$B='Facilitatory data'!$D234)*('Input import'!$A:$A='Facilitatory data'!G$3),'Input import'!$D:$D)=0,80,_xlfn.XLOOKUP(1,('Input import'!$B:$B='Facilitatory data'!$D234)*('Input import'!$A:$A='Facilitatory data'!G$3),'Input import'!$D:$D)),80)</f>
        <v>80</v>
      </c>
      <c r="H234" s="886" t="s">
        <v>1040</v>
      </c>
    </row>
    <row r="235" spans="2:8">
      <c r="B235" s="905"/>
      <c r="D235" s="886" t="s">
        <v>329</v>
      </c>
      <c r="F235" s="886" t="s">
        <v>1818</v>
      </c>
      <c r="G235" s="886" cm="1">
        <f t="array" ref="G235">IFERROR(IF(_xlfn.XLOOKUP(1,('Input import'!$B:$B='Facilitatory data'!$D235)*('Input import'!$A:$A='Facilitatory data'!G$3),'Input import'!$D:$D)=0,80,_xlfn.XLOOKUP(1,('Input import'!$B:$B='Facilitatory data'!$D235)*('Input import'!$A:$A='Facilitatory data'!G$3),'Input import'!$D:$D)),80)</f>
        <v>80</v>
      </c>
      <c r="H235" s="886" t="s">
        <v>1040</v>
      </c>
    </row>
    <row r="236" spans="2:8">
      <c r="B236" s="905"/>
      <c r="D236" s="886" t="s">
        <v>332</v>
      </c>
      <c r="F236" s="886" t="s">
        <v>1818</v>
      </c>
      <c r="G236" s="886" cm="1">
        <f t="array" ref="G236">IFERROR(IF(_xlfn.XLOOKUP(1,('Input import'!$B:$B='Facilitatory data'!$D236)*('Input import'!$A:$A='Facilitatory data'!G$3),'Input import'!$D:$D)=0,80,_xlfn.XLOOKUP(1,('Input import'!$B:$B='Facilitatory data'!$D236)*('Input import'!$A:$A='Facilitatory data'!G$3),'Input import'!$D:$D)),80)</f>
        <v>80</v>
      </c>
      <c r="H236" s="886" t="s">
        <v>1040</v>
      </c>
    </row>
    <row r="237" spans="2:8">
      <c r="B237" s="905"/>
      <c r="D237" s="886" t="s">
        <v>335</v>
      </c>
      <c r="F237" s="886" t="s">
        <v>1818</v>
      </c>
      <c r="G237" s="886" cm="1">
        <f t="array" ref="G237">IFERROR(IF(_xlfn.XLOOKUP(1,('Input import'!$B:$B='Facilitatory data'!$D237)*('Input import'!$A:$A='Facilitatory data'!G$3),'Input import'!$D:$D)=0,80,_xlfn.XLOOKUP(1,('Input import'!$B:$B='Facilitatory data'!$D237)*('Input import'!$A:$A='Facilitatory data'!G$3),'Input import'!$D:$D)),80)</f>
        <v>80</v>
      </c>
      <c r="H237" s="886" t="s">
        <v>1040</v>
      </c>
    </row>
    <row r="238" spans="2:8">
      <c r="B238" s="905"/>
      <c r="D238" s="886" t="s">
        <v>338</v>
      </c>
      <c r="F238" s="886" t="s">
        <v>1818</v>
      </c>
      <c r="G238" s="886" cm="1">
        <f t="array" ref="G238">IFERROR(IF(_xlfn.XLOOKUP(1,('Input import'!$B:$B='Facilitatory data'!$D238)*('Input import'!$A:$A='Facilitatory data'!G$3),'Input import'!$D:$D)=0,80,_xlfn.XLOOKUP(1,('Input import'!$B:$B='Facilitatory data'!$D238)*('Input import'!$A:$A='Facilitatory data'!G$3),'Input import'!$D:$D)),80)</f>
        <v>80</v>
      </c>
      <c r="H238" s="886" t="s">
        <v>1040</v>
      </c>
    </row>
    <row r="239" spans="2:8">
      <c r="B239" s="905"/>
      <c r="D239" s="886" t="s">
        <v>341</v>
      </c>
      <c r="F239" s="886" t="s">
        <v>1818</v>
      </c>
      <c r="G239" s="886" cm="1">
        <f t="array" ref="G239">IFERROR(IF(_xlfn.XLOOKUP(1,('Input import'!$B:$B='Facilitatory data'!$D239)*('Input import'!$A:$A='Facilitatory data'!G$3),'Input import'!$D:$D)=0,750,_xlfn.XLOOKUP(1,('Input import'!$B:$B='Facilitatory data'!$D239)*('Input import'!$A:$A='Facilitatory data'!G$3),'Input import'!$D:$D)),750)</f>
        <v>750</v>
      </c>
      <c r="H239" s="886" t="s">
        <v>1040</v>
      </c>
    </row>
    <row r="240" spans="2:8">
      <c r="B240" s="905"/>
      <c r="D240" s="886" t="s">
        <v>345</v>
      </c>
      <c r="F240" s="886" t="s">
        <v>1818</v>
      </c>
      <c r="G240" s="886" t="str" cm="1">
        <f t="array" ref="G240">IFERROR(_xlfn.XLOOKUP(1,('Input import'!$B:$B='Facilitatory data'!$D240)*('Input import'!$A:$A='Facilitatory data'!G$3),'Input import'!$D:$D),"")</f>
        <v/>
      </c>
      <c r="H240" s="886" t="s">
        <v>1040</v>
      </c>
    </row>
    <row r="241" spans="2:8">
      <c r="B241" s="905"/>
      <c r="D241" s="886" t="s">
        <v>1113</v>
      </c>
      <c r="F241" s="886" t="s">
        <v>1821</v>
      </c>
      <c r="G241" s="886" t="str">
        <f>IFERROR(G240,"")</f>
        <v/>
      </c>
      <c r="H241" s="886" t="s">
        <v>1040</v>
      </c>
    </row>
    <row r="242" spans="2:8">
      <c r="B242" s="905"/>
      <c r="D242" s="886" t="s">
        <v>351</v>
      </c>
      <c r="F242" s="886" t="s">
        <v>1818</v>
      </c>
      <c r="G242" s="886" t="str" cm="1">
        <f t="array" ref="G242">IFERROR(_xlfn.XLOOKUP(1,('Input import'!$B:$B='Facilitatory data'!$D242)*('Input import'!$A:$A='Facilitatory data'!G$3),'Input import'!$D:$D),"")</f>
        <v/>
      </c>
      <c r="H242" s="886" t="s">
        <v>1040</v>
      </c>
    </row>
    <row r="243" spans="2:8">
      <c r="B243" s="905"/>
      <c r="D243" s="886" t="s">
        <v>1114</v>
      </c>
      <c r="F243" s="886" t="s">
        <v>1821</v>
      </c>
      <c r="G243" s="886" t="str">
        <f>IFERROR(G242,"")</f>
        <v/>
      </c>
      <c r="H243" s="886" t="s">
        <v>1040</v>
      </c>
    </row>
    <row r="244" spans="2:8">
      <c r="B244" s="905"/>
      <c r="D244" s="886" t="s">
        <v>1115</v>
      </c>
      <c r="E244" s="886" t="s">
        <v>1115</v>
      </c>
      <c r="F244" s="886" t="s">
        <v>1821</v>
      </c>
      <c r="G244" s="892">
        <f t="shared" ref="G244:G253" si="5">IFERROR(G214*G230*2,0)</f>
        <v>0</v>
      </c>
      <c r="H244" s="886" t="s">
        <v>1044</v>
      </c>
    </row>
    <row r="245" spans="2:8">
      <c r="B245" s="905"/>
      <c r="D245" s="886" t="s">
        <v>1116</v>
      </c>
      <c r="E245" s="886" t="s">
        <v>1116</v>
      </c>
      <c r="F245" s="886" t="s">
        <v>1821</v>
      </c>
      <c r="G245" s="892">
        <f t="shared" si="5"/>
        <v>0</v>
      </c>
      <c r="H245" s="886" t="s">
        <v>1044</v>
      </c>
    </row>
    <row r="246" spans="2:8">
      <c r="B246" s="905"/>
      <c r="D246" s="886" t="s">
        <v>1117</v>
      </c>
      <c r="E246" s="886" t="s">
        <v>1117</v>
      </c>
      <c r="F246" s="886" t="s">
        <v>1821</v>
      </c>
      <c r="G246" s="892">
        <f t="shared" si="5"/>
        <v>0</v>
      </c>
      <c r="H246" s="886" t="s">
        <v>1044</v>
      </c>
    </row>
    <row r="247" spans="2:8">
      <c r="B247" s="905"/>
      <c r="D247" s="886" t="s">
        <v>1118</v>
      </c>
      <c r="E247" s="886" t="s">
        <v>1118</v>
      </c>
      <c r="F247" s="886" t="s">
        <v>1821</v>
      </c>
      <c r="G247" s="892">
        <f t="shared" si="5"/>
        <v>0</v>
      </c>
      <c r="H247" s="886" t="s">
        <v>1044</v>
      </c>
    </row>
    <row r="248" spans="2:8">
      <c r="B248" s="905"/>
      <c r="D248" s="886" t="s">
        <v>1119</v>
      </c>
      <c r="E248" s="886" t="s">
        <v>1119</v>
      </c>
      <c r="F248" s="886" t="s">
        <v>1821</v>
      </c>
      <c r="G248" s="892">
        <f t="shared" si="5"/>
        <v>0</v>
      </c>
      <c r="H248" s="886" t="s">
        <v>1044</v>
      </c>
    </row>
    <row r="249" spans="2:8">
      <c r="B249" s="905"/>
      <c r="D249" s="886" t="s">
        <v>1120</v>
      </c>
      <c r="E249" s="886" t="s">
        <v>1120</v>
      </c>
      <c r="F249" s="886" t="s">
        <v>1821</v>
      </c>
      <c r="G249" s="892">
        <f t="shared" si="5"/>
        <v>0</v>
      </c>
      <c r="H249" s="886" t="s">
        <v>1044</v>
      </c>
    </row>
    <row r="250" spans="2:8">
      <c r="B250" s="905"/>
      <c r="D250" s="886" t="s">
        <v>1121</v>
      </c>
      <c r="E250" s="886" t="s">
        <v>1121</v>
      </c>
      <c r="F250" s="886" t="s">
        <v>1821</v>
      </c>
      <c r="G250" s="892">
        <f t="shared" si="5"/>
        <v>0</v>
      </c>
      <c r="H250" s="886" t="s">
        <v>1044</v>
      </c>
    </row>
    <row r="251" spans="2:8">
      <c r="B251" s="905"/>
      <c r="D251" s="886" t="s">
        <v>1122</v>
      </c>
      <c r="E251" s="886" t="s">
        <v>1122</v>
      </c>
      <c r="F251" s="886" t="s">
        <v>1821</v>
      </c>
      <c r="G251" s="892">
        <f t="shared" si="5"/>
        <v>0</v>
      </c>
      <c r="H251" s="886" t="s">
        <v>1044</v>
      </c>
    </row>
    <row r="252" spans="2:8">
      <c r="B252" s="905"/>
      <c r="D252" s="886" t="s">
        <v>1123</v>
      </c>
      <c r="E252" s="886" t="s">
        <v>1123</v>
      </c>
      <c r="F252" s="886" t="s">
        <v>1821</v>
      </c>
      <c r="G252" s="892">
        <f t="shared" si="5"/>
        <v>0</v>
      </c>
      <c r="H252" s="886" t="s">
        <v>1044</v>
      </c>
    </row>
    <row r="253" spans="2:8">
      <c r="B253" s="905"/>
      <c r="D253" s="886" t="s">
        <v>1124</v>
      </c>
      <c r="E253" s="886" t="s">
        <v>1124</v>
      </c>
      <c r="F253" s="886" t="s">
        <v>1821</v>
      </c>
      <c r="G253" s="892">
        <f t="shared" si="5"/>
        <v>0</v>
      </c>
      <c r="H253" s="886" t="s">
        <v>1044</v>
      </c>
    </row>
    <row r="254" spans="2:8">
      <c r="B254" s="905"/>
      <c r="D254" s="886" t="s">
        <v>1125</v>
      </c>
      <c r="E254" s="886" t="s">
        <v>1125</v>
      </c>
      <c r="F254" s="886" t="s">
        <v>1821</v>
      </c>
      <c r="G254" s="892">
        <f>IFERROR(G225*G240*2,0)</f>
        <v>0</v>
      </c>
      <c r="H254" s="886" t="s">
        <v>1044</v>
      </c>
    </row>
    <row r="255" spans="2:8">
      <c r="B255" s="905"/>
      <c r="D255" s="886" t="s">
        <v>1126</v>
      </c>
      <c r="E255" s="886" t="s">
        <v>1126</v>
      </c>
      <c r="F255" s="886" t="s">
        <v>1821</v>
      </c>
      <c r="G255" s="892">
        <f>IFERROR(G226*G241*2,0)</f>
        <v>0</v>
      </c>
      <c r="H255" s="886" t="s">
        <v>1044</v>
      </c>
    </row>
    <row r="256" spans="2:8">
      <c r="B256" s="905"/>
      <c r="D256" s="886" t="s">
        <v>1127</v>
      </c>
      <c r="E256" s="886" t="s">
        <v>1127</v>
      </c>
      <c r="F256" s="886" t="s">
        <v>1821</v>
      </c>
      <c r="G256" s="892">
        <f>IFERROR(G228*G242*2,0)</f>
        <v>0</v>
      </c>
      <c r="H256" s="886" t="s">
        <v>1044</v>
      </c>
    </row>
    <row r="257" spans="2:8">
      <c r="B257" s="905"/>
      <c r="D257" s="886" t="s">
        <v>1128</v>
      </c>
      <c r="E257" s="886" t="s">
        <v>1128</v>
      </c>
      <c r="F257" s="886" t="s">
        <v>1821</v>
      </c>
      <c r="G257" s="892">
        <f>IFERROR(G229*G243*2,0)</f>
        <v>0</v>
      </c>
      <c r="H257" s="886" t="s">
        <v>1044</v>
      </c>
    </row>
    <row r="258" spans="2:8">
      <c r="B258" s="905"/>
    </row>
    <row r="259" spans="2:8">
      <c r="B259" s="905"/>
      <c r="D259" s="886" t="s">
        <v>576</v>
      </c>
      <c r="F259" s="886" t="s">
        <v>1818</v>
      </c>
      <c r="G259" s="886" cm="1">
        <f t="array" ref="G259">IFERROR(IF(_xlfn.XLOOKUP(1,('Input import'!$B:$B='Facilitatory data'!$D259)*('Input import'!$A:$A='Facilitatory data'!G$3),'Input import'!$D:$D)=0,2,_xlfn.XLOOKUP(1,('Input import'!$B:$B='Facilitatory data'!$D259)*('Input import'!$A:$A='Facilitatory data'!G$3),'Input import'!$D:$D)),2)</f>
        <v>2</v>
      </c>
      <c r="H259" s="886" t="s">
        <v>1129</v>
      </c>
    </row>
    <row r="260" spans="2:8">
      <c r="B260" s="905"/>
      <c r="D260" s="886" t="s">
        <v>577</v>
      </c>
      <c r="F260" s="886" t="s">
        <v>1818</v>
      </c>
      <c r="G260" s="886" cm="1">
        <f t="array" ref="G260">IFERROR(IF(_xlfn.XLOOKUP(1,('Input import'!$B:$B='Facilitatory data'!$D260)*('Input import'!$A:$A='Facilitatory data'!G$3),'Input import'!$D:$D)=0,2,_xlfn.XLOOKUP(1,('Input import'!$B:$B='Facilitatory data'!$D260)*('Input import'!$A:$A='Facilitatory data'!G$3),'Input import'!$D:$D)),2)</f>
        <v>2</v>
      </c>
      <c r="H260" s="886" t="s">
        <v>1129</v>
      </c>
    </row>
    <row r="261" spans="2:8">
      <c r="B261" s="905"/>
      <c r="D261" s="886" t="s">
        <v>1130</v>
      </c>
      <c r="E261" s="886" t="s">
        <v>1130</v>
      </c>
      <c r="F261" s="886" t="s">
        <v>1821</v>
      </c>
      <c r="G261" s="892">
        <f>IFERROR(G134/G259,0)</f>
        <v>0</v>
      </c>
      <c r="H261" s="886" t="s">
        <v>1131</v>
      </c>
    </row>
    <row r="262" spans="2:8">
      <c r="B262" s="905"/>
      <c r="D262" s="886" t="s">
        <v>1132</v>
      </c>
      <c r="E262" s="886" t="s">
        <v>1132</v>
      </c>
      <c r="F262" s="886" t="s">
        <v>1821</v>
      </c>
      <c r="G262" s="892">
        <f>IFERROR(G135/G260,0)</f>
        <v>0</v>
      </c>
      <c r="H262" s="886" t="s">
        <v>1131</v>
      </c>
    </row>
    <row r="263" spans="2:8">
      <c r="B263" s="905"/>
      <c r="D263" s="886" t="s">
        <v>579</v>
      </c>
      <c r="F263" s="886" t="s">
        <v>1818</v>
      </c>
      <c r="G263" s="886" cm="1">
        <f t="array" ref="G263">IFERROR(IF(_xlfn.XLOOKUP(1,('Input import'!$B:$B='Facilitatory data'!$D263)*('Input import'!$A:$A='Facilitatory data'!G$3),'Input import'!$D:$D)=0,2,_xlfn.XLOOKUP(1,('Input import'!$B:$B='Facilitatory data'!$D263)*('Input import'!$A:$A='Facilitatory data'!G$3),'Input import'!$D:$D)),2)</f>
        <v>2</v>
      </c>
      <c r="H263" s="886" t="s">
        <v>1129</v>
      </c>
    </row>
    <row r="264" spans="2:8">
      <c r="B264" s="905"/>
      <c r="D264" s="886" t="s">
        <v>580</v>
      </c>
      <c r="F264" s="886" t="s">
        <v>1818</v>
      </c>
      <c r="G264" s="886" cm="1">
        <f t="array" ref="G264">IFERROR(IF(_xlfn.XLOOKUP(1,('Input import'!$B:$B='Facilitatory data'!$D264)*('Input import'!$A:$A='Facilitatory data'!G$3),'Input import'!$D:$D)=0,2,_xlfn.XLOOKUP(1,('Input import'!$B:$B='Facilitatory data'!$D264)*('Input import'!$A:$A='Facilitatory data'!G$3),'Input import'!$D:$D)),2)</f>
        <v>2</v>
      </c>
      <c r="H264" s="886" t="s">
        <v>1129</v>
      </c>
    </row>
    <row r="265" spans="2:8">
      <c r="B265" s="905"/>
      <c r="D265" s="886" t="s">
        <v>1133</v>
      </c>
      <c r="E265" s="886" t="s">
        <v>1133</v>
      </c>
      <c r="F265" s="886" t="s">
        <v>1821</v>
      </c>
      <c r="G265" s="892">
        <f>IFERROR(G191/G263,0)</f>
        <v>0</v>
      </c>
      <c r="H265" s="886" t="s">
        <v>1131</v>
      </c>
    </row>
    <row r="266" spans="2:8">
      <c r="B266" s="905"/>
      <c r="D266" s="886" t="s">
        <v>1134</v>
      </c>
      <c r="E266" s="886" t="s">
        <v>1134</v>
      </c>
      <c r="F266" s="886" t="s">
        <v>1821</v>
      </c>
      <c r="G266" s="892">
        <f>IFERROR(G192/G264,0)</f>
        <v>0</v>
      </c>
      <c r="H266" s="886" t="s">
        <v>1131</v>
      </c>
    </row>
    <row r="267" spans="2:8">
      <c r="B267" s="905"/>
      <c r="D267" s="886" t="s">
        <v>581</v>
      </c>
      <c r="F267" s="886" t="s">
        <v>1818</v>
      </c>
      <c r="G267" s="886" cm="1">
        <f t="array" ref="G267">IFERROR(IF(_xlfn.XLOOKUP(1,('Input import'!$B:$B='Facilitatory data'!$D267)*('Input import'!$A:$A='Facilitatory data'!G$3),'Input import'!$D:$D)=0,2,_xlfn.XLOOKUP(1,('Input import'!$B:$B='Facilitatory data'!$D267)*('Input import'!$A:$A='Facilitatory data'!G$3),'Input import'!$D:$D)),2)</f>
        <v>2</v>
      </c>
      <c r="H267" s="886" t="s">
        <v>1129</v>
      </c>
    </row>
    <row r="268" spans="2:8">
      <c r="B268" s="905"/>
      <c r="D268" s="886" t="s">
        <v>582</v>
      </c>
      <c r="F268" s="886" t="s">
        <v>1818</v>
      </c>
      <c r="G268" s="886" cm="1">
        <f t="array" ref="G268">IFERROR(IF(_xlfn.XLOOKUP(1,('Input import'!$B:$B='Facilitatory data'!$D268)*('Input import'!$A:$A='Facilitatory data'!G$3),'Input import'!$D:$D)=0,2,_xlfn.XLOOKUP(1,('Input import'!$B:$B='Facilitatory data'!$D268)*('Input import'!$A:$A='Facilitatory data'!G$3),'Input import'!$D:$D)),2)</f>
        <v>2</v>
      </c>
      <c r="H268" s="886" t="s">
        <v>1129</v>
      </c>
    </row>
    <row r="269" spans="2:8">
      <c r="B269" s="905"/>
      <c r="D269" s="886" t="s">
        <v>1135</v>
      </c>
      <c r="E269" s="886" t="s">
        <v>1135</v>
      </c>
      <c r="F269" s="886" t="s">
        <v>1821</v>
      </c>
      <c r="G269" s="892">
        <f>IFERROR(G248/G267,0)</f>
        <v>0</v>
      </c>
      <c r="H269" s="886" t="s">
        <v>1131</v>
      </c>
    </row>
    <row r="270" spans="2:8">
      <c r="B270" s="905"/>
      <c r="D270" s="886" t="s">
        <v>1136</v>
      </c>
      <c r="E270" s="886" t="s">
        <v>1136</v>
      </c>
      <c r="F270" s="886" t="s">
        <v>1821</v>
      </c>
      <c r="G270" s="892">
        <f>IFERROR(G249/G268,0)</f>
        <v>0</v>
      </c>
      <c r="H270" s="886" t="s">
        <v>1131</v>
      </c>
    </row>
    <row r="271" spans="2:8">
      <c r="B271" s="960" t="s">
        <v>384</v>
      </c>
      <c r="C271" s="906"/>
      <c r="D271" s="906"/>
      <c r="E271" s="906"/>
      <c r="F271" s="906"/>
      <c r="G271" s="906"/>
      <c r="H271" s="906"/>
    </row>
    <row r="272" spans="2:8">
      <c r="B272" s="905"/>
      <c r="D272" s="886" t="s">
        <v>385</v>
      </c>
      <c r="F272" s="886" t="s">
        <v>1818</v>
      </c>
      <c r="G272" s="886" t="str" cm="1">
        <f t="array" ref="G272">IFERROR(_xlfn.XLOOKUP(1,('Input import'!$B:$B='Facilitatory data'!$D272)*('Input import'!$A:$A='Facilitatory data'!G$3),'Input import'!$D:$D),"")</f>
        <v/>
      </c>
    </row>
    <row r="273" spans="2:8">
      <c r="B273" s="905"/>
      <c r="D273" s="886" t="s">
        <v>388</v>
      </c>
      <c r="F273" s="886" t="s">
        <v>1818</v>
      </c>
      <c r="G273" s="886" t="str" cm="1">
        <f t="array" ref="G273">IFERROR(_xlfn.XLOOKUP(1,('Input import'!$B:$B='Facilitatory data'!$D273)*('Input import'!$A:$A='Facilitatory data'!G$3),'Input import'!$D:$D),"")</f>
        <v/>
      </c>
    </row>
    <row r="274" spans="2:8">
      <c r="B274" s="905"/>
      <c r="D274" s="886" t="s">
        <v>390</v>
      </c>
      <c r="F274" s="886" t="s">
        <v>1818</v>
      </c>
      <c r="G274" s="886" t="str" cm="1">
        <f t="array" ref="G274">IFERROR(_xlfn.XLOOKUP(1,('Input import'!$B:$B='Facilitatory data'!$D274)*('Input import'!$A:$A='Facilitatory data'!G$3),'Input import'!$D:$D),"")</f>
        <v/>
      </c>
    </row>
    <row r="275" spans="2:8"/>
    <row r="276" spans="2:8" ht="19">
      <c r="B276" s="907" t="s">
        <v>392</v>
      </c>
      <c r="C276" s="907"/>
      <c r="D276" s="907"/>
      <c r="E276" s="907"/>
      <c r="F276" s="907"/>
      <c r="G276" s="907"/>
      <c r="H276" s="907"/>
    </row>
    <row r="277" spans="2:8">
      <c r="B277" s="908"/>
      <c r="D277" s="886" t="s">
        <v>393</v>
      </c>
      <c r="E277" s="886" t="s">
        <v>393</v>
      </c>
      <c r="F277" s="886" t="s">
        <v>1818</v>
      </c>
      <c r="G277" s="886" cm="1">
        <f t="array" ref="G277">IFERROR(_xlfn.XLOOKUP(1,('Input import'!$B:$B='Facilitatory data'!$D277)*('Input import'!$A:$A='Facilitatory data'!G$3),'Input import'!$D:$D),0)</f>
        <v>0</v>
      </c>
      <c r="H277" s="886" t="s">
        <v>1606</v>
      </c>
    </row>
    <row r="278" spans="2:8">
      <c r="B278" s="908"/>
      <c r="D278" s="886" t="s">
        <v>395</v>
      </c>
      <c r="E278" s="886" t="s">
        <v>395</v>
      </c>
      <c r="F278" s="886" t="s">
        <v>1818</v>
      </c>
      <c r="G278" s="886" cm="1">
        <f t="array" ref="G278">IFERROR(_xlfn.XLOOKUP(1,('Input import'!$B:$B='Facilitatory data'!$D278)*('Input import'!$A:$A='Facilitatory data'!G$3),'Input import'!$D:$D),0)</f>
        <v>0</v>
      </c>
      <c r="H278" s="886" t="s">
        <v>1606</v>
      </c>
    </row>
    <row r="279" spans="2:8">
      <c r="B279" s="908"/>
      <c r="D279" s="886" t="s">
        <v>397</v>
      </c>
      <c r="E279" s="886" t="s">
        <v>397</v>
      </c>
      <c r="F279" s="886" t="s">
        <v>1818</v>
      </c>
      <c r="G279" s="886" cm="1">
        <f t="array" ref="G279">IFERROR(_xlfn.XLOOKUP(1,('Input import'!$B:$B='Facilitatory data'!$D279)*('Input import'!$A:$A='Facilitatory data'!G$3),'Input import'!$D:$D),0)</f>
        <v>0</v>
      </c>
      <c r="H279" s="886" t="s">
        <v>1606</v>
      </c>
    </row>
    <row r="280" spans="2:8">
      <c r="B280" s="908"/>
      <c r="D280" s="886" t="s">
        <v>399</v>
      </c>
      <c r="E280" s="886" t="s">
        <v>399</v>
      </c>
      <c r="F280" s="886" t="s">
        <v>1818</v>
      </c>
      <c r="G280" s="886" cm="1">
        <f t="array" ref="G280">IFERROR(_xlfn.XLOOKUP(1,('Input import'!$B:$B='Facilitatory data'!$D280)*('Input import'!$A:$A='Facilitatory data'!G$3),'Input import'!$D:$D),0)</f>
        <v>0</v>
      </c>
      <c r="H280" s="886" t="s">
        <v>1606</v>
      </c>
    </row>
    <row r="281" spans="2:8">
      <c r="B281" s="908"/>
      <c r="D281" s="886" t="s">
        <v>585</v>
      </c>
      <c r="F281" s="886" t="s">
        <v>1818</v>
      </c>
      <c r="G281" s="886" cm="1">
        <f t="array" ref="G281">IFERROR(_xlfn.XLOOKUP(1,('Input import'!$B:$B='Facilitatory data'!$D281)*('Input import'!$A:$A='Facilitatory data'!G$3),'Input import'!$D:$D),0)</f>
        <v>0</v>
      </c>
      <c r="H281" s="886" t="s">
        <v>1606</v>
      </c>
    </row>
    <row r="282" spans="2:8">
      <c r="B282" s="908"/>
      <c r="D282" s="886" t="s">
        <v>585</v>
      </c>
      <c r="E282" s="886" t="s">
        <v>585</v>
      </c>
      <c r="F282" s="886" t="s">
        <v>1821</v>
      </c>
      <c r="G282" s="886">
        <f>IFERROR(IF(G281=0,G277+G278-G280,G281),0)</f>
        <v>0</v>
      </c>
      <c r="H282" s="886" t="s">
        <v>1606</v>
      </c>
    </row>
    <row r="283" spans="2:8"/>
    <row r="284" spans="2:8" ht="19">
      <c r="B284" s="898" t="s">
        <v>1726</v>
      </c>
      <c r="C284" s="894"/>
      <c r="D284" s="894"/>
      <c r="E284" s="894"/>
      <c r="F284" s="894"/>
      <c r="G284" s="894"/>
      <c r="H284" s="894"/>
    </row>
    <row r="285" spans="2:8">
      <c r="B285" s="894"/>
      <c r="D285" s="886" t="s">
        <v>998</v>
      </c>
      <c r="E285" s="886" t="s">
        <v>998</v>
      </c>
      <c r="F285" s="886" t="s">
        <v>1818</v>
      </c>
      <c r="G285" s="891">
        <f>IFERROR(_xlfn.XLOOKUP(E285,D:D,G:G,""),"")</f>
        <v>0</v>
      </c>
      <c r="H285" s="886" t="s">
        <v>1727</v>
      </c>
    </row>
    <row r="286" spans="2:8">
      <c r="B286" s="894"/>
      <c r="G286" s="891"/>
    </row>
    <row r="287" spans="2:8">
      <c r="B287" s="894"/>
      <c r="D287" s="886" t="s">
        <v>1723</v>
      </c>
      <c r="F287" s="886" t="s">
        <v>1818</v>
      </c>
      <c r="G287" s="891">
        <f>IFERROR(SUM('CO2-Calculation'!T:T),"")</f>
        <v>0</v>
      </c>
      <c r="H287" s="886" t="s">
        <v>1730</v>
      </c>
    </row>
    <row r="288" spans="2:8">
      <c r="B288" s="894"/>
      <c r="D288" s="886" t="s">
        <v>1722</v>
      </c>
      <c r="F288" s="886" t="s">
        <v>1818</v>
      </c>
      <c r="G288" s="891">
        <f>IFERROR(SUM('CO2-Calculation'!X:X)*1000,"")</f>
        <v>0</v>
      </c>
      <c r="H288" s="886" t="s">
        <v>1730</v>
      </c>
    </row>
    <row r="289" spans="2:8">
      <c r="B289" s="894"/>
      <c r="D289" s="886" t="s">
        <v>1728</v>
      </c>
      <c r="F289" s="886" t="s">
        <v>1821</v>
      </c>
      <c r="G289" s="1105" t="str">
        <f>IFERROR(G287/$G$285,"")</f>
        <v/>
      </c>
      <c r="H289" s="886" t="s">
        <v>1742</v>
      </c>
    </row>
    <row r="290" spans="2:8">
      <c r="B290" s="894"/>
      <c r="D290" s="886" t="s">
        <v>1729</v>
      </c>
      <c r="F290" s="886" t="s">
        <v>1821</v>
      </c>
      <c r="G290" s="1105" t="str">
        <f>IFERROR(G288/$G$285,"")</f>
        <v/>
      </c>
      <c r="H290" s="886" t="s">
        <v>1742</v>
      </c>
    </row>
    <row r="291" spans="2:8">
      <c r="B291" s="894"/>
    </row>
    <row r="292" spans="2:8">
      <c r="B292" s="894"/>
      <c r="D292" s="886" t="s">
        <v>1731</v>
      </c>
      <c r="F292" s="886" t="s">
        <v>1818</v>
      </c>
      <c r="G292" s="1104">
        <f>IFERROR(SUMIFS('CO2-Calculation'!O:O,'CO2-Calculation'!B:B,"Materials procured",'CO2-Calculation'!N:N,"Circular"),"")</f>
        <v>0</v>
      </c>
      <c r="H292" s="886" t="s">
        <v>96</v>
      </c>
    </row>
    <row r="293" spans="2:8">
      <c r="B293" s="894"/>
      <c r="D293" s="886" t="s">
        <v>1732</v>
      </c>
      <c r="F293" s="886" t="s">
        <v>1818</v>
      </c>
      <c r="G293" s="1104">
        <f>IFERROR(SUMIFS('CO2-Calculation'!O:O,'CO2-Calculation'!B:B,"Materials procured",'CO2-Calculation'!N:N,"Non-circular"),"")</f>
        <v>0</v>
      </c>
      <c r="H293" s="886" t="s">
        <v>96</v>
      </c>
    </row>
    <row r="294" spans="2:8">
      <c r="B294" s="894"/>
      <c r="D294" s="886" t="s">
        <v>1733</v>
      </c>
      <c r="F294" s="886" t="s">
        <v>1821</v>
      </c>
      <c r="G294" s="1105" t="str">
        <f>IFERROR(G292/$G$285,"")</f>
        <v/>
      </c>
      <c r="H294" s="886" t="s">
        <v>1743</v>
      </c>
    </row>
    <row r="295" spans="2:8">
      <c r="B295" s="894"/>
      <c r="D295" s="886" t="s">
        <v>1734</v>
      </c>
      <c r="F295" s="886" t="s">
        <v>1821</v>
      </c>
      <c r="G295" s="1105" t="str">
        <f>IFERROR(G293/$G$285,"")</f>
        <v/>
      </c>
      <c r="H295" s="886" t="s">
        <v>1743</v>
      </c>
    </row>
    <row r="296" spans="2:8">
      <c r="B296" s="894"/>
      <c r="D296" s="886" t="s">
        <v>1746</v>
      </c>
      <c r="F296" s="886" t="s">
        <v>1821</v>
      </c>
      <c r="G296" s="1108" t="str">
        <f>IFERROR(G292/(SUM(G292:G293)),"")</f>
        <v/>
      </c>
      <c r="H296" s="886" t="s">
        <v>1747</v>
      </c>
    </row>
    <row r="297" spans="2:8">
      <c r="B297" s="894"/>
    </row>
    <row r="298" spans="2:8">
      <c r="B298" s="894"/>
      <c r="D298" s="886" t="s">
        <v>1738</v>
      </c>
      <c r="F298" s="886" t="s">
        <v>1818</v>
      </c>
      <c r="G298" s="1104">
        <f>IFERROR(SUMIFS('CO2-Calculation'!O:O,'CO2-Calculation'!B:B,"Materials end-of-life",'CO2-Calculation'!M:M,"Separated for recycling"),"")</f>
        <v>0</v>
      </c>
      <c r="H298" s="886" t="s">
        <v>96</v>
      </c>
    </row>
    <row r="299" spans="2:8">
      <c r="B299" s="894"/>
      <c r="D299" s="886" t="s">
        <v>1739</v>
      </c>
      <c r="F299" s="886" t="s">
        <v>1818</v>
      </c>
      <c r="G299" s="1104">
        <f>IFERROR(SUMIFS('CO2-Calculation'!O:O,'CO2-Calculation'!B:B,"Materials end-of-life",'CO2-Calculation'!M:M,"Residual waste"),"")</f>
        <v>0</v>
      </c>
      <c r="H299" s="886" t="s">
        <v>96</v>
      </c>
    </row>
    <row r="300" spans="2:8">
      <c r="B300" s="894"/>
      <c r="D300" s="886" t="s">
        <v>1740</v>
      </c>
      <c r="F300" s="886" t="s">
        <v>1821</v>
      </c>
      <c r="G300" s="1105" t="str">
        <f>IFERROR(G298/$G$285,"")</f>
        <v/>
      </c>
      <c r="H300" s="886" t="s">
        <v>1743</v>
      </c>
    </row>
    <row r="301" spans="2:8">
      <c r="B301" s="894"/>
      <c r="D301" s="886" t="s">
        <v>1741</v>
      </c>
      <c r="F301" s="886" t="s">
        <v>1821</v>
      </c>
      <c r="G301" s="1105" t="str">
        <f>IFERROR(G299/$G$285,"")</f>
        <v/>
      </c>
      <c r="H301" s="886" t="s">
        <v>1743</v>
      </c>
    </row>
    <row r="302" spans="2:8">
      <c r="B302" s="894"/>
      <c r="D302" s="886" t="s">
        <v>1753</v>
      </c>
      <c r="F302" s="886" t="s">
        <v>1821</v>
      </c>
      <c r="G302" s="1108" t="str">
        <f>IFERROR(G298/(SUM(G298:G299)),"")</f>
        <v/>
      </c>
      <c r="H302" s="886" t="s">
        <v>1747</v>
      </c>
    </row>
    <row r="303" spans="2:8">
      <c r="B303" s="894"/>
    </row>
    <row r="304" spans="2:8">
      <c r="B304" s="894"/>
      <c r="D304" s="886" t="s">
        <v>1748</v>
      </c>
      <c r="F304" s="886" t="s">
        <v>1818</v>
      </c>
      <c r="G304" s="1104">
        <f>IFERROR(SUM('CO2-Calculation'!F56:F97),"")</f>
        <v>0</v>
      </c>
      <c r="H304" s="886" t="s">
        <v>224</v>
      </c>
    </row>
    <row r="305" spans="2:8">
      <c r="B305" s="894"/>
      <c r="D305" s="886" t="s">
        <v>1749</v>
      </c>
      <c r="F305" s="886" t="s">
        <v>1818</v>
      </c>
      <c r="G305" s="1104">
        <f>IFERROR(SUMIFS('CO2-Calculation'!F:F,'CO2-Calculation'!B:B,"Travel",'CO2-Calculation'!N:N,"Sustainable"),"")</f>
        <v>0</v>
      </c>
      <c r="H305" s="886" t="s">
        <v>224</v>
      </c>
    </row>
    <row r="306" spans="2:8">
      <c r="B306" s="894"/>
      <c r="D306" s="886" t="s">
        <v>1750</v>
      </c>
      <c r="F306" s="886" t="s">
        <v>1818</v>
      </c>
      <c r="G306" s="1104">
        <f>IFERROR(SUMIFS('CO2-Calculation'!F:F,'CO2-Calculation'!B:B,"Travel",'CO2-Calculation'!N:N,"Non-sustainable"),"")</f>
        <v>0</v>
      </c>
      <c r="H306" s="886" t="s">
        <v>224</v>
      </c>
    </row>
    <row r="307" spans="2:8">
      <c r="B307" s="894"/>
      <c r="D307" s="886" t="s">
        <v>1778</v>
      </c>
      <c r="F307" s="886" t="s">
        <v>1821</v>
      </c>
      <c r="G307" s="1104" t="str">
        <f>IFERROR(G305/$G$285,"")</f>
        <v/>
      </c>
      <c r="H307" s="886" t="s">
        <v>1780</v>
      </c>
    </row>
    <row r="308" spans="2:8">
      <c r="B308" s="894"/>
      <c r="D308" s="886" t="s">
        <v>1779</v>
      </c>
      <c r="F308" s="886" t="s">
        <v>1821</v>
      </c>
      <c r="G308" s="1104" t="str">
        <f>IFERROR(G306/$G$285,"")</f>
        <v/>
      </c>
      <c r="H308" s="886" t="s">
        <v>1780</v>
      </c>
    </row>
    <row r="309" spans="2:8">
      <c r="B309" s="894"/>
      <c r="D309" s="886" t="s">
        <v>1751</v>
      </c>
      <c r="F309" s="886" t="s">
        <v>1821</v>
      </c>
      <c r="G309" s="1108" t="str">
        <f>IFERROR(G305/$G$304,"")</f>
        <v/>
      </c>
      <c r="H309" s="886" t="s">
        <v>1747</v>
      </c>
    </row>
    <row r="310" spans="2:8">
      <c r="B310" s="894"/>
      <c r="D310" s="886" t="s">
        <v>1752</v>
      </c>
      <c r="F310" s="886" t="s">
        <v>1821</v>
      </c>
      <c r="G310" s="1108" t="str">
        <f>IFERROR(G306/$G$304,"")</f>
        <v/>
      </c>
      <c r="H310" s="886" t="s">
        <v>1747</v>
      </c>
    </row>
    <row r="311" spans="2:8">
      <c r="B311" s="894"/>
    </row>
    <row r="312" spans="2:8">
      <c r="B312" s="894"/>
      <c r="D312" s="886" t="s">
        <v>1762</v>
      </c>
      <c r="F312" s="886" t="s">
        <v>1818</v>
      </c>
      <c r="G312" s="891">
        <f>IFERROR(SUMIFS('CO2-Calculation'!T:T,'CO2-Calculation'!C:C,"Food"),"")</f>
        <v>0</v>
      </c>
      <c r="H312" s="886" t="s">
        <v>1719</v>
      </c>
    </row>
    <row r="313" spans="2:8">
      <c r="B313" s="894"/>
      <c r="D313" s="886" t="s">
        <v>1756</v>
      </c>
      <c r="F313" s="886" t="s">
        <v>1818</v>
      </c>
      <c r="G313" s="886">
        <f>IFERROR(SUMIFS('CO2-Calculation'!F:F,'CO2-Calculation'!C:C,"Food",'CO2-Calculation'!G:G,"kg"),"")</f>
        <v>0</v>
      </c>
      <c r="H313" s="886" t="s">
        <v>96</v>
      </c>
    </row>
    <row r="314" spans="2:8">
      <c r="B314" s="894"/>
      <c r="D314" s="886" t="s">
        <v>1757</v>
      </c>
      <c r="F314" s="886" t="s">
        <v>1818</v>
      </c>
      <c r="G314" s="886">
        <f>IFERROR(SUMIFS('CO2-Calculation'!F:F,'CO2-Calculation'!C:C,"Food",'CO2-Calculation'!G:G,"meals"),"")</f>
        <v>0</v>
      </c>
      <c r="H314" s="886" t="s">
        <v>434</v>
      </c>
    </row>
    <row r="315" spans="2:8">
      <c r="B315" s="894"/>
      <c r="D315" s="886" t="s">
        <v>1758</v>
      </c>
      <c r="F315" s="886" t="s">
        <v>1818</v>
      </c>
      <c r="G315" s="886">
        <v>0.2</v>
      </c>
      <c r="H315" s="886" t="s">
        <v>1759</v>
      </c>
    </row>
    <row r="316" spans="2:8">
      <c r="B316" s="894"/>
      <c r="D316" s="886" t="s">
        <v>1760</v>
      </c>
      <c r="F316" s="886" t="s">
        <v>1821</v>
      </c>
      <c r="G316" s="886">
        <f>IFERROR((G313/G315)+G314,"")</f>
        <v>0</v>
      </c>
      <c r="H316" s="886" t="s">
        <v>434</v>
      </c>
    </row>
    <row r="317" spans="2:8">
      <c r="B317" s="894"/>
      <c r="D317" s="886" t="s">
        <v>1761</v>
      </c>
      <c r="F317" s="886" t="s">
        <v>1821</v>
      </c>
      <c r="G317" s="886" t="str">
        <f>IFERROR(G312/G316,"")</f>
        <v/>
      </c>
      <c r="H317" s="886" t="s">
        <v>1763</v>
      </c>
    </row>
    <row r="318" spans="2:8">
      <c r="B318" s="894"/>
    </row>
    <row r="319" spans="2:8">
      <c r="B319" s="894"/>
      <c r="D319" s="886" t="s">
        <v>1764</v>
      </c>
      <c r="F319" s="886" t="s">
        <v>1818</v>
      </c>
      <c r="G319" s="891">
        <f>IFERROR(SUMIFS('CO2-Calculation'!T:T,'CO2-Calculation'!C:C,"Drinks"),"")</f>
        <v>0</v>
      </c>
      <c r="H319" s="886" t="s">
        <v>1719</v>
      </c>
    </row>
    <row r="320" spans="2:8">
      <c r="B320" s="894"/>
      <c r="D320" s="886" t="s">
        <v>1766</v>
      </c>
      <c r="F320" s="886" t="s">
        <v>1818</v>
      </c>
      <c r="G320" s="886">
        <f>IFERROR(SUMIFS('CO2-Calculation'!F:F,'CO2-Calculation'!C:C,"Drinks",'CO2-Calculation'!G:G,"litres"),"")</f>
        <v>0</v>
      </c>
      <c r="H320" s="886" t="s">
        <v>91</v>
      </c>
    </row>
    <row r="321" spans="2:8">
      <c r="B321" s="894"/>
      <c r="D321" s="886" t="s">
        <v>1767</v>
      </c>
      <c r="F321" s="886" t="s">
        <v>1821</v>
      </c>
      <c r="G321" s="1109" t="str">
        <f>IFERROR(G319/G320,"")</f>
        <v/>
      </c>
      <c r="H321" s="886" t="s">
        <v>1765</v>
      </c>
    </row>
    <row r="322" spans="2:8">
      <c r="B322" s="894"/>
    </row>
    <row r="323" spans="2:8">
      <c r="B323" s="894"/>
      <c r="D323" s="886" t="s">
        <v>1769</v>
      </c>
      <c r="F323" s="886" t="s">
        <v>1818</v>
      </c>
      <c r="G323" s="886">
        <f>IFERROR(SUMIFS('CO2-Calculation'!F:F,'CO2-Calculation'!M:M,"Potable"),"")</f>
        <v>0</v>
      </c>
      <c r="H323" s="886" t="s">
        <v>1606</v>
      </c>
    </row>
    <row r="324" spans="2:8">
      <c r="B324" s="894"/>
      <c r="D324" s="886" t="s">
        <v>1770</v>
      </c>
      <c r="F324" s="886" t="s">
        <v>1818</v>
      </c>
      <c r="G324" s="886">
        <f>IFERROR(SUMIFS('CO2-Calculation'!F:F,'CO2-Calculation'!M:M,"Non-potable"),"")</f>
        <v>0</v>
      </c>
      <c r="H324" s="886" t="s">
        <v>1606</v>
      </c>
    </row>
    <row r="325" spans="2:8">
      <c r="B325" s="894"/>
      <c r="D325" s="886" t="s">
        <v>1771</v>
      </c>
      <c r="F325" s="886" t="s">
        <v>1821</v>
      </c>
      <c r="G325" s="1105" t="str">
        <f>IFERROR(G323/$G$285,"")</f>
        <v/>
      </c>
      <c r="H325" s="886" t="s">
        <v>1768</v>
      </c>
    </row>
    <row r="326" spans="2:8">
      <c r="B326" s="894"/>
      <c r="D326" s="886" t="s">
        <v>1772</v>
      </c>
      <c r="F326" s="886" t="s">
        <v>1821</v>
      </c>
      <c r="G326" s="1105" t="str">
        <f>IFERROR(G324/$G$285,"")</f>
        <v/>
      </c>
      <c r="H326" s="886" t="s">
        <v>1768</v>
      </c>
    </row>
    <row r="327" spans="2:8">
      <c r="B327" s="894"/>
      <c r="D327" s="886" t="s">
        <v>1776</v>
      </c>
      <c r="F327" s="886" t="s">
        <v>1821</v>
      </c>
      <c r="G327" s="1108" t="str">
        <f>IFERROR(G325/(SUM($G$325,$G$326)),"")</f>
        <v/>
      </c>
      <c r="H327" s="886" t="s">
        <v>1747</v>
      </c>
    </row>
    <row r="328" spans="2:8">
      <c r="B328" s="894"/>
      <c r="D328" s="886" t="s">
        <v>1777</v>
      </c>
      <c r="F328" s="886" t="s">
        <v>1821</v>
      </c>
      <c r="G328" s="1108" t="str">
        <f>IFERROR(G326/(SUM($G$325,$G$326)),"")</f>
        <v/>
      </c>
      <c r="H328" s="886" t="s">
        <v>1747</v>
      </c>
    </row>
    <row r="329" spans="2:8">
      <c r="B329" s="894"/>
    </row>
    <row r="330" spans="2:8">
      <c r="B330" s="894"/>
      <c r="D330" s="886" t="s">
        <v>1787</v>
      </c>
      <c r="F330" s="886" t="s">
        <v>1818</v>
      </c>
      <c r="G330" s="891">
        <f>IFERROR(SUMIFS('CO2-Calculation'!T:T,'CO2-Calculation'!C:C,"Internal stays"),"")</f>
        <v>0</v>
      </c>
      <c r="H330" s="886" t="s">
        <v>1719</v>
      </c>
    </row>
    <row r="331" spans="2:8">
      <c r="B331" s="894"/>
      <c r="D331" s="886" t="s">
        <v>1788</v>
      </c>
      <c r="F331" s="886" t="s">
        <v>1818</v>
      </c>
      <c r="G331" s="891">
        <f>IFERROR(SUMIFS('CO2-Calculation'!T:T,'CO2-Calculation'!C:C,"External stays"),"")</f>
        <v>0</v>
      </c>
      <c r="H331" s="886" t="s">
        <v>1719</v>
      </c>
    </row>
    <row r="332" spans="2:8">
      <c r="B332" s="894"/>
      <c r="D332" s="886" t="s">
        <v>1784</v>
      </c>
      <c r="F332" s="886" t="s">
        <v>1818</v>
      </c>
      <c r="G332" s="886">
        <f>IFERROR(SUMIFS('CO2-Calculation'!F:F,'CO2-Calculation'!C:C,"Internal stays"),"")</f>
        <v>0</v>
      </c>
      <c r="H332" s="886" t="s">
        <v>1786</v>
      </c>
    </row>
    <row r="333" spans="2:8">
      <c r="B333" s="894"/>
      <c r="D333" s="886" t="s">
        <v>1785</v>
      </c>
      <c r="F333" s="886" t="s">
        <v>1818</v>
      </c>
      <c r="G333" s="886">
        <f>IFERROR(SUMIFS('CO2-Calculation'!F:F,'CO2-Calculation'!C:C,"External stays"),"")</f>
        <v>0</v>
      </c>
      <c r="H333" s="886" t="s">
        <v>1786</v>
      </c>
    </row>
    <row r="334" spans="2:8">
      <c r="B334" s="894"/>
      <c r="D334" s="886" t="s">
        <v>1789</v>
      </c>
      <c r="F334" s="886" t="s">
        <v>1821</v>
      </c>
      <c r="G334" s="892" t="str">
        <f>IFERROR(G330/G332,"")</f>
        <v/>
      </c>
    </row>
    <row r="335" spans="2:8">
      <c r="B335" s="894"/>
      <c r="D335" s="886" t="s">
        <v>1790</v>
      </c>
      <c r="F335" s="886" t="s">
        <v>1821</v>
      </c>
      <c r="G335" s="1103" t="str">
        <f>IFERROR(G331/G333,"")</f>
        <v/>
      </c>
      <c r="H335" s="886" t="s">
        <v>1791</v>
      </c>
    </row>
    <row r="336" spans="2:8">
      <c r="B336" s="894"/>
    </row>
    <row r="337"/>
    <row r="338"/>
    <row r="339"/>
    <row r="340"/>
    <row r="341"/>
    <row r="342"/>
    <row r="343"/>
    <row r="344"/>
    <row r="345"/>
    <row r="346"/>
    <row r="347"/>
    <row r="348"/>
    <row r="349"/>
    <row r="350"/>
    <row r="351"/>
  </sheetData>
  <autoFilter ref="D3:G86" xr:uid="{00000000-0009-0000-0000-000004000000}"/>
  <mergeCells count="1">
    <mergeCell ref="E1:J1"/>
  </mergeCells>
  <pageMargins left="0.7" right="0.7" top="0.75" bottom="0.75" header="0.3" footer="0.3"/>
  <pageSetup paperSize="9" orientation="portrait" horizontalDpi="0" verticalDpi="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36A7-8C7C-40C4-AA47-800BD63E70D5}">
  <sheetPr codeName="Sheet13">
    <tabColor theme="0" tint="-0.249977111117893"/>
  </sheetPr>
  <dimension ref="A1:AC196"/>
  <sheetViews>
    <sheetView zoomScale="88" zoomScaleNormal="70" workbookViewId="0"/>
  </sheetViews>
  <sheetFormatPr baseColWidth="10" defaultColWidth="0" defaultRowHeight="16"/>
  <cols>
    <col min="1" max="1" width="2.6640625" style="664" customWidth="1"/>
    <col min="2" max="2" width="5.1640625" style="664" customWidth="1"/>
    <col min="3" max="3" width="35" style="664" bestFit="1" customWidth="1"/>
    <col min="4" max="4" width="14.1640625" style="669" customWidth="1"/>
    <col min="5" max="5" width="21.6640625" style="664" customWidth="1"/>
    <col min="6" max="6" width="22.6640625" style="664" customWidth="1"/>
    <col min="7" max="7" width="16.83203125" style="664" customWidth="1"/>
    <col min="8" max="8" width="16.1640625" style="664" customWidth="1"/>
    <col min="9" max="9" width="11.6640625" style="664" customWidth="1"/>
    <col min="10" max="10" width="12.6640625" style="664" customWidth="1"/>
    <col min="11" max="29" width="8.6640625" style="664" customWidth="1"/>
    <col min="30" max="16384" width="8.6640625" style="664" hidden="1"/>
  </cols>
  <sheetData>
    <row r="1" spans="1:23" s="997" customFormat="1" ht="34">
      <c r="A1" s="8"/>
      <c r="B1" s="422" t="s">
        <v>1696</v>
      </c>
      <c r="C1" s="422"/>
      <c r="D1" s="424"/>
      <c r="E1" s="424"/>
      <c r="F1" s="994" t="s">
        <v>1697</v>
      </c>
      <c r="G1" s="423"/>
      <c r="H1" s="422"/>
      <c r="I1" s="422"/>
      <c r="J1" s="996"/>
      <c r="K1" s="996"/>
      <c r="L1" s="996"/>
      <c r="M1" s="996"/>
      <c r="N1" s="996"/>
      <c r="O1" s="996"/>
      <c r="P1" s="996"/>
      <c r="Q1" s="996"/>
      <c r="R1" s="996"/>
      <c r="S1" s="996"/>
      <c r="T1" s="996"/>
      <c r="U1" s="996"/>
      <c r="V1" s="996"/>
      <c r="W1" s="996"/>
    </row>
    <row r="2" spans="1:23" s="997" customFormat="1" ht="19">
      <c r="A2" s="8"/>
      <c r="B2" s="423"/>
      <c r="C2" s="998"/>
      <c r="D2" s="999"/>
      <c r="E2" s="999"/>
      <c r="F2" s="998"/>
      <c r="G2" s="998"/>
      <c r="H2" s="998"/>
      <c r="I2" s="998"/>
      <c r="J2" s="996"/>
      <c r="K2" s="996"/>
      <c r="L2" s="996"/>
      <c r="M2" s="996"/>
      <c r="N2" s="996"/>
      <c r="O2" s="996"/>
      <c r="P2" s="996"/>
      <c r="Q2" s="996"/>
      <c r="R2" s="996"/>
      <c r="S2" s="996"/>
      <c r="T2" s="996"/>
      <c r="U2" s="996"/>
      <c r="V2" s="996"/>
      <c r="W2" s="996"/>
    </row>
    <row r="4" spans="1:23" s="973" customFormat="1" ht="24">
      <c r="A4" s="972" t="s">
        <v>521</v>
      </c>
      <c r="C4" s="93"/>
      <c r="D4" s="974"/>
    </row>
    <row r="5" spans="1:23" s="654" customFormat="1" ht="15" customHeight="1">
      <c r="A5" s="852"/>
      <c r="B5" s="852"/>
      <c r="C5" s="852"/>
      <c r="D5" s="853"/>
      <c r="E5" s="852"/>
      <c r="F5" s="852"/>
      <c r="G5" s="852"/>
      <c r="H5" s="852"/>
      <c r="I5" s="852"/>
      <c r="J5" s="852"/>
      <c r="K5" s="852"/>
      <c r="L5" s="852"/>
      <c r="M5" s="655"/>
      <c r="N5" s="854"/>
      <c r="O5" s="855"/>
      <c r="P5" s="856"/>
      <c r="Q5" s="857"/>
      <c r="R5" s="858"/>
      <c r="S5" s="656"/>
      <c r="T5" s="657"/>
    </row>
    <row r="6" spans="1:23" s="654" customFormat="1">
      <c r="A6" s="852"/>
      <c r="B6" s="658" t="s">
        <v>1380</v>
      </c>
      <c r="C6" s="659"/>
      <c r="D6" s="660"/>
      <c r="E6" s="659"/>
      <c r="F6" s="659"/>
      <c r="G6" s="659"/>
      <c r="H6" s="659"/>
      <c r="I6" s="852"/>
      <c r="J6" s="852"/>
      <c r="K6" s="852"/>
      <c r="L6" s="852"/>
      <c r="M6" s="655"/>
      <c r="N6" s="854"/>
      <c r="O6" s="855"/>
      <c r="P6" s="856"/>
      <c r="Q6" s="857"/>
      <c r="R6" s="858"/>
      <c r="S6" s="656"/>
      <c r="T6" s="657"/>
    </row>
    <row r="7" spans="1:23" s="654" customFormat="1">
      <c r="A7" s="852"/>
      <c r="B7" s="661"/>
      <c r="C7" s="662" t="s">
        <v>1</v>
      </c>
      <c r="D7" s="663" t="s">
        <v>1381</v>
      </c>
      <c r="E7" s="662" t="s">
        <v>992</v>
      </c>
      <c r="F7" s="662" t="s">
        <v>1382</v>
      </c>
      <c r="G7" s="662" t="s">
        <v>993</v>
      </c>
      <c r="H7" s="662" t="s">
        <v>1383</v>
      </c>
      <c r="I7" s="852"/>
      <c r="J7" s="852"/>
      <c r="K7" s="852"/>
      <c r="L7" s="852"/>
      <c r="M7" s="655"/>
      <c r="N7" s="854"/>
      <c r="O7" s="855"/>
      <c r="P7" s="856"/>
      <c r="Q7" s="857"/>
      <c r="R7" s="858"/>
      <c r="S7" s="656"/>
      <c r="T7" s="657"/>
    </row>
    <row r="8" spans="1:23" s="654" customFormat="1" ht="15" customHeight="1">
      <c r="A8" s="852"/>
      <c r="B8" s="852"/>
      <c r="C8" s="852" t="s">
        <v>1384</v>
      </c>
      <c r="D8" s="859">
        <v>4.9519824538770303</v>
      </c>
      <c r="E8" s="860" t="s">
        <v>1385</v>
      </c>
      <c r="F8" s="861">
        <v>0.5</v>
      </c>
      <c r="G8" s="852" t="s">
        <v>1195</v>
      </c>
      <c r="H8" s="852"/>
      <c r="I8" s="852"/>
      <c r="J8" s="852"/>
      <c r="K8" s="852"/>
      <c r="L8" s="852"/>
      <c r="M8" s="655"/>
      <c r="N8" s="854"/>
      <c r="O8" s="855"/>
      <c r="P8" s="856"/>
      <c r="Q8" s="858"/>
      <c r="R8" s="858"/>
      <c r="S8" s="656"/>
      <c r="T8" s="657"/>
    </row>
    <row r="9" spans="1:23" ht="16.5" customHeight="1" thickBot="1">
      <c r="B9" s="665"/>
      <c r="C9" s="862" t="s">
        <v>1386</v>
      </c>
      <c r="D9" s="863">
        <v>6.27329753431707</v>
      </c>
      <c r="E9" s="864" t="s">
        <v>1385</v>
      </c>
      <c r="F9" s="865">
        <v>0.5</v>
      </c>
      <c r="G9" s="862" t="s">
        <v>1195</v>
      </c>
      <c r="H9" s="665"/>
    </row>
    <row r="10" spans="1:23" ht="16.5" customHeight="1" thickTop="1">
      <c r="C10" s="666" t="s">
        <v>1365</v>
      </c>
      <c r="D10" s="667">
        <f>SUMPRODUCT(D8:D9,F8:F9)</f>
        <v>5.6126399940970497</v>
      </c>
      <c r="E10" s="668" t="s">
        <v>1385</v>
      </c>
      <c r="Q10" s="866"/>
      <c r="R10" s="866"/>
    </row>
    <row r="11" spans="1:23">
      <c r="Q11" s="866"/>
      <c r="R11" s="866"/>
    </row>
    <row r="12" spans="1:23" s="895" customFormat="1" ht="24">
      <c r="A12" s="895" t="s">
        <v>76</v>
      </c>
    </row>
    <row r="14" spans="1:23">
      <c r="B14" s="658" t="s">
        <v>1387</v>
      </c>
      <c r="C14" s="659"/>
      <c r="D14" s="660"/>
      <c r="E14" s="659"/>
      <c r="F14" s="659"/>
      <c r="G14" s="659"/>
      <c r="H14" s="659"/>
    </row>
    <row r="15" spans="1:23">
      <c r="B15" s="661"/>
      <c r="C15" s="662" t="s">
        <v>1</v>
      </c>
      <c r="D15" s="663" t="s">
        <v>1381</v>
      </c>
      <c r="E15" s="662" t="s">
        <v>992</v>
      </c>
      <c r="F15" s="662" t="s">
        <v>1382</v>
      </c>
      <c r="G15" s="662" t="s">
        <v>993</v>
      </c>
      <c r="H15" s="662" t="s">
        <v>1383</v>
      </c>
    </row>
    <row r="16" spans="1:23" s="975" customFormat="1">
      <c r="C16" s="976" t="s">
        <v>1388</v>
      </c>
      <c r="D16" s="977">
        <v>0.85</v>
      </c>
      <c r="E16" s="976" t="s">
        <v>1389</v>
      </c>
      <c r="F16" s="976"/>
      <c r="G16" s="976" t="s">
        <v>1390</v>
      </c>
      <c r="H16" s="976"/>
    </row>
    <row r="17" spans="1:15" ht="16.5" customHeight="1" thickBot="1">
      <c r="B17" s="665"/>
      <c r="C17" s="867" t="s">
        <v>1391</v>
      </c>
      <c r="D17" s="868">
        <v>43.2</v>
      </c>
      <c r="E17" s="869" t="s">
        <v>1392</v>
      </c>
      <c r="F17" s="670"/>
      <c r="G17" s="665" t="s">
        <v>1393</v>
      </c>
      <c r="H17" s="665"/>
      <c r="N17" s="866"/>
      <c r="O17" s="870"/>
    </row>
    <row r="18" spans="1:15" ht="16.5" customHeight="1" thickTop="1">
      <c r="B18" s="671"/>
      <c r="C18" s="672" t="s">
        <v>1213</v>
      </c>
      <c r="D18" s="673">
        <f>D16*D17</f>
        <v>36.72</v>
      </c>
      <c r="E18" s="674" t="s">
        <v>1394</v>
      </c>
      <c r="F18" s="671"/>
      <c r="G18" s="671"/>
      <c r="H18" s="671"/>
      <c r="N18" s="866"/>
      <c r="O18" s="870"/>
    </row>
    <row r="19" spans="1:15">
      <c r="N19" s="866"/>
      <c r="O19" s="870"/>
    </row>
    <row r="20" spans="1:15">
      <c r="B20" s="658" t="s">
        <v>1387</v>
      </c>
      <c r="C20" s="659"/>
      <c r="D20" s="660"/>
      <c r="E20" s="659"/>
      <c r="F20" s="659"/>
      <c r="G20" s="659"/>
      <c r="H20" s="659"/>
      <c r="N20" s="866"/>
      <c r="O20" s="870"/>
    </row>
    <row r="21" spans="1:15">
      <c r="B21" s="661"/>
      <c r="C21" s="662" t="s">
        <v>1</v>
      </c>
      <c r="D21" s="663" t="s">
        <v>1381</v>
      </c>
      <c r="E21" s="662"/>
      <c r="F21" s="662" t="s">
        <v>1382</v>
      </c>
      <c r="G21" s="662" t="s">
        <v>993</v>
      </c>
      <c r="H21" s="662" t="s">
        <v>1383</v>
      </c>
      <c r="O21" s="870"/>
    </row>
    <row r="22" spans="1:15" s="975" customFormat="1" ht="16.5" customHeight="1">
      <c r="C22" s="976" t="s">
        <v>1395</v>
      </c>
      <c r="D22" s="977">
        <v>43.3</v>
      </c>
      <c r="E22" s="976"/>
      <c r="F22" s="976">
        <v>0.73</v>
      </c>
      <c r="G22" s="664" t="s">
        <v>1393</v>
      </c>
      <c r="H22" s="976"/>
      <c r="O22" s="978"/>
    </row>
    <row r="23" spans="1:15" ht="17.25" customHeight="1" thickBot="1">
      <c r="B23" s="665"/>
      <c r="C23" s="867" t="s">
        <v>1396</v>
      </c>
      <c r="D23" s="979">
        <v>0.73</v>
      </c>
      <c r="E23" s="869"/>
      <c r="F23" s="670">
        <v>0.73</v>
      </c>
      <c r="G23" s="980" t="s">
        <v>1390</v>
      </c>
      <c r="H23" s="665"/>
      <c r="O23" s="870"/>
    </row>
    <row r="24" spans="1:15" ht="16.5" customHeight="1" thickTop="1">
      <c r="B24" s="671"/>
      <c r="C24" s="672" t="s">
        <v>1217</v>
      </c>
      <c r="D24" s="673">
        <f>D22*D23</f>
        <v>31.608999999999998</v>
      </c>
      <c r="E24" s="674"/>
      <c r="F24" s="671"/>
      <c r="G24" s="671"/>
      <c r="H24" s="671"/>
      <c r="O24" s="870"/>
    </row>
    <row r="25" spans="1:15">
      <c r="N25" s="866"/>
      <c r="O25" s="870"/>
    </row>
    <row r="26" spans="1:15">
      <c r="B26" s="658" t="s">
        <v>1387</v>
      </c>
      <c r="C26" s="659"/>
      <c r="D26" s="660"/>
      <c r="E26" s="659"/>
      <c r="F26" s="659"/>
      <c r="G26" s="659"/>
      <c r="H26" s="659"/>
      <c r="N26" s="866"/>
      <c r="O26" s="870"/>
    </row>
    <row r="27" spans="1:15">
      <c r="B27" s="661"/>
      <c r="C27" s="662" t="s">
        <v>1</v>
      </c>
      <c r="D27" s="663" t="s">
        <v>1397</v>
      </c>
      <c r="E27" s="662"/>
      <c r="F27" s="662" t="s">
        <v>1382</v>
      </c>
      <c r="G27" s="662" t="s">
        <v>993</v>
      </c>
      <c r="H27" s="662" t="s">
        <v>1383</v>
      </c>
      <c r="N27" s="866"/>
      <c r="O27" s="870"/>
    </row>
    <row r="28" spans="1:15" ht="16.5" customHeight="1" thickBot="1">
      <c r="B28" s="665"/>
      <c r="C28" s="867" t="s">
        <v>1220</v>
      </c>
      <c r="D28" s="868">
        <v>31.65</v>
      </c>
      <c r="E28" s="869"/>
      <c r="F28" s="670">
        <v>0.71</v>
      </c>
      <c r="G28" s="665"/>
      <c r="H28" s="665"/>
      <c r="N28" s="866"/>
      <c r="O28" s="870"/>
    </row>
    <row r="29" spans="1:15" ht="16.5" customHeight="1" thickTop="1">
      <c r="B29" s="671"/>
      <c r="C29" s="672" t="s">
        <v>1218</v>
      </c>
      <c r="D29" s="673">
        <f>D28/F28</f>
        <v>44.577464788732392</v>
      </c>
      <c r="E29" s="674"/>
      <c r="F29" s="671"/>
      <c r="G29" s="671"/>
      <c r="H29" s="671"/>
      <c r="N29" s="866"/>
      <c r="O29" s="870"/>
    </row>
    <row r="30" spans="1:15">
      <c r="C30" s="866"/>
      <c r="D30" s="871"/>
      <c r="E30" s="872"/>
      <c r="N30" s="866"/>
      <c r="O30" s="870"/>
    </row>
    <row r="31" spans="1:15" s="981" customFormat="1" ht="24">
      <c r="A31" s="981" t="s">
        <v>403</v>
      </c>
    </row>
    <row r="33" spans="2:15">
      <c r="B33" s="658" t="s">
        <v>1380</v>
      </c>
      <c r="C33" s="659"/>
      <c r="D33" s="660"/>
      <c r="E33" s="659"/>
      <c r="F33" s="659"/>
      <c r="G33" s="659"/>
      <c r="H33" s="659"/>
      <c r="I33" s="659" t="s">
        <v>426</v>
      </c>
      <c r="J33" s="659" t="s">
        <v>428</v>
      </c>
      <c r="K33" s="659"/>
      <c r="L33" s="659"/>
    </row>
    <row r="34" spans="2:15">
      <c r="B34" s="661"/>
      <c r="C34" s="662" t="s">
        <v>1</v>
      </c>
      <c r="D34" s="663" t="s">
        <v>1397</v>
      </c>
      <c r="E34" s="662"/>
      <c r="F34" s="662" t="s">
        <v>1382</v>
      </c>
      <c r="G34" s="662" t="s">
        <v>993</v>
      </c>
      <c r="H34" s="662" t="s">
        <v>1383</v>
      </c>
      <c r="I34" s="662" t="s">
        <v>1382</v>
      </c>
      <c r="J34" s="662"/>
      <c r="K34" s="662"/>
      <c r="L34" s="662"/>
    </row>
    <row r="35" spans="2:15">
      <c r="C35" s="675" t="s">
        <v>1398</v>
      </c>
      <c r="D35" s="873">
        <v>40.5</v>
      </c>
      <c r="E35" s="874" t="s">
        <v>1399</v>
      </c>
      <c r="F35" s="875">
        <v>0.33333333333333331</v>
      </c>
      <c r="G35" s="664" t="s">
        <v>1317</v>
      </c>
      <c r="H35" s="664" t="s">
        <v>1400</v>
      </c>
      <c r="I35" s="676">
        <f>F35/SUM($F$35:$F$37)</f>
        <v>0.49999999999999989</v>
      </c>
    </row>
    <row r="36" spans="2:15">
      <c r="C36" s="675" t="s">
        <v>1401</v>
      </c>
      <c r="D36" s="873">
        <v>24</v>
      </c>
      <c r="E36" s="874" t="s">
        <v>1399</v>
      </c>
      <c r="F36" s="875">
        <v>0.16666666666666671</v>
      </c>
      <c r="G36" s="664" t="s">
        <v>1317</v>
      </c>
      <c r="I36" s="676">
        <f t="shared" ref="I36:I37" si="0">F36/SUM($F$35:$F$37)</f>
        <v>0.25000000000000006</v>
      </c>
    </row>
    <row r="37" spans="2:15">
      <c r="C37" s="675" t="s">
        <v>1402</v>
      </c>
      <c r="D37" s="873">
        <v>7</v>
      </c>
      <c r="E37" s="874" t="s">
        <v>1399</v>
      </c>
      <c r="F37" s="875">
        <v>0.16666666666666671</v>
      </c>
      <c r="G37" s="664" t="s">
        <v>1317</v>
      </c>
      <c r="I37" s="676">
        <f t="shared" si="0"/>
        <v>0.25000000000000006</v>
      </c>
    </row>
    <row r="38" spans="2:15" ht="16.5" customHeight="1" thickBot="1">
      <c r="B38" s="665"/>
      <c r="C38" s="677" t="s">
        <v>1403</v>
      </c>
      <c r="D38" s="876">
        <v>6</v>
      </c>
      <c r="E38" s="877" t="s">
        <v>1399</v>
      </c>
      <c r="F38" s="878">
        <v>0.33333333333333331</v>
      </c>
      <c r="G38" s="665" t="s">
        <v>1317</v>
      </c>
      <c r="H38" s="665"/>
      <c r="J38" s="676">
        <v>1</v>
      </c>
    </row>
    <row r="39" spans="2:15" ht="16.5" customHeight="1" thickTop="1">
      <c r="C39" s="678" t="s">
        <v>1404</v>
      </c>
      <c r="D39" s="679">
        <f>SUMPRODUCT($D$35:$D$38,F35:F38)</f>
        <v>20.666666666666668</v>
      </c>
      <c r="E39" s="680" t="s">
        <v>1399</v>
      </c>
      <c r="H39" s="664" t="s">
        <v>1405</v>
      </c>
      <c r="I39" s="679">
        <f>SUMPRODUCT($D$35:$D$38,I35:I38)</f>
        <v>28</v>
      </c>
      <c r="J39" s="679">
        <f>SUMPRODUCT($D$35:$D$38,J35:J38)</f>
        <v>6</v>
      </c>
    </row>
    <row r="41" spans="2:15">
      <c r="B41" s="658" t="s">
        <v>1406</v>
      </c>
      <c r="C41" s="659"/>
      <c r="D41" s="660"/>
      <c r="E41" s="659"/>
      <c r="F41" s="659"/>
      <c r="G41" s="659"/>
      <c r="H41" s="659"/>
    </row>
    <row r="42" spans="2:15">
      <c r="B42" s="661"/>
      <c r="C42" s="662" t="s">
        <v>1</v>
      </c>
      <c r="D42" s="663" t="s">
        <v>1397</v>
      </c>
      <c r="E42" s="662" t="s">
        <v>970</v>
      </c>
      <c r="F42" s="662" t="s">
        <v>1382</v>
      </c>
      <c r="G42" s="662" t="s">
        <v>993</v>
      </c>
      <c r="H42" s="662" t="s">
        <v>1383</v>
      </c>
      <c r="N42" s="671"/>
      <c r="O42" s="671"/>
    </row>
    <row r="43" spans="2:15">
      <c r="C43" s="866" t="s">
        <v>1407</v>
      </c>
      <c r="D43" s="871">
        <v>1.5</v>
      </c>
      <c r="E43" s="872" t="s">
        <v>1279</v>
      </c>
      <c r="F43" s="875">
        <v>0.2</v>
      </c>
      <c r="G43" s="664" t="s">
        <v>1240</v>
      </c>
    </row>
    <row r="44" spans="2:15">
      <c r="C44" s="866" t="s">
        <v>1408</v>
      </c>
      <c r="D44" s="871">
        <v>4.03</v>
      </c>
      <c r="E44" s="872" t="s">
        <v>1279</v>
      </c>
      <c r="F44" s="875">
        <v>0.2</v>
      </c>
      <c r="G44" s="664" t="s">
        <v>1240</v>
      </c>
    </row>
    <row r="45" spans="2:15">
      <c r="C45" s="866" t="s">
        <v>1409</v>
      </c>
      <c r="D45" s="871">
        <v>0.22</v>
      </c>
      <c r="E45" s="872" t="s">
        <v>1279</v>
      </c>
      <c r="F45" s="875">
        <v>0.2</v>
      </c>
      <c r="G45" s="664" t="s">
        <v>1240</v>
      </c>
    </row>
    <row r="46" spans="2:15">
      <c r="C46" s="866" t="s">
        <v>1410</v>
      </c>
      <c r="D46" s="871">
        <v>3.03</v>
      </c>
      <c r="E46" s="872" t="s">
        <v>1279</v>
      </c>
      <c r="F46" s="875">
        <v>0.2</v>
      </c>
      <c r="G46" s="664" t="s">
        <v>1240</v>
      </c>
    </row>
    <row r="47" spans="2:15" ht="16.5" customHeight="1" thickBot="1">
      <c r="B47" s="665"/>
      <c r="C47" s="867" t="s">
        <v>1411</v>
      </c>
      <c r="D47" s="868">
        <v>0.222</v>
      </c>
      <c r="E47" s="869" t="s">
        <v>1279</v>
      </c>
      <c r="F47" s="878">
        <v>0.2</v>
      </c>
      <c r="G47" s="665" t="s">
        <v>1240</v>
      </c>
      <c r="H47" s="665"/>
    </row>
    <row r="48" spans="2:15" ht="32.25" customHeight="1" thickTop="1">
      <c r="C48" s="681" t="s">
        <v>1412</v>
      </c>
      <c r="D48" s="682">
        <f>SUMPRODUCT(D43:D47,F43:F47)</f>
        <v>1.8004000000000002</v>
      </c>
      <c r="E48" s="683" t="s">
        <v>1279</v>
      </c>
      <c r="H48" s="664" t="s">
        <v>1405</v>
      </c>
    </row>
    <row r="49" spans="2:15" ht="19.5" customHeight="1"/>
    <row r="50" spans="2:15">
      <c r="B50" s="658" t="s">
        <v>1413</v>
      </c>
      <c r="C50" s="659"/>
      <c r="D50" s="660"/>
      <c r="E50" s="659"/>
      <c r="F50" s="659"/>
      <c r="G50" s="659"/>
      <c r="H50" s="659"/>
    </row>
    <row r="51" spans="2:15">
      <c r="B51" s="661"/>
      <c r="C51" s="662" t="s">
        <v>1</v>
      </c>
      <c r="D51" s="663" t="s">
        <v>1397</v>
      </c>
      <c r="E51" s="662"/>
      <c r="F51" s="662" t="s">
        <v>1382</v>
      </c>
      <c r="G51" s="662" t="s">
        <v>993</v>
      </c>
      <c r="H51" s="662" t="s">
        <v>1383</v>
      </c>
    </row>
    <row r="52" spans="2:15">
      <c r="C52" s="664" t="s">
        <v>1414</v>
      </c>
      <c r="D52" s="684">
        <v>0.212904155747908</v>
      </c>
      <c r="E52" s="685" t="s">
        <v>1279</v>
      </c>
      <c r="F52" s="686">
        <f>1/3</f>
        <v>0.33333333333333331</v>
      </c>
    </row>
    <row r="53" spans="2:15">
      <c r="C53" s="664" t="s">
        <v>1415</v>
      </c>
      <c r="D53" s="684">
        <v>0.27692441708210802</v>
      </c>
      <c r="E53" s="685" t="s">
        <v>1279</v>
      </c>
      <c r="F53" s="686">
        <f>1/3</f>
        <v>0.33333333333333331</v>
      </c>
    </row>
    <row r="54" spans="2:15" ht="16.5" customHeight="1" thickBot="1">
      <c r="B54" s="665"/>
      <c r="C54" s="665" t="s">
        <v>1416</v>
      </c>
      <c r="D54" s="687">
        <v>3.5976344827093401E-3</v>
      </c>
      <c r="E54" s="688" t="s">
        <v>1279</v>
      </c>
      <c r="F54" s="670">
        <f>1/3</f>
        <v>0.33333333333333331</v>
      </c>
      <c r="G54" s="665"/>
      <c r="H54" s="665"/>
    </row>
    <row r="55" spans="2:15" ht="16.5" customHeight="1" thickTop="1">
      <c r="C55" s="671" t="s">
        <v>1417</v>
      </c>
      <c r="D55" s="682">
        <f>SUMPRODUCT(D52:D54,F52:F54)</f>
        <v>0.16447540243757511</v>
      </c>
      <c r="E55" s="683" t="s">
        <v>1279</v>
      </c>
      <c r="H55" s="664" t="s">
        <v>1405</v>
      </c>
    </row>
    <row r="57" spans="2:15">
      <c r="B57" s="658" t="s">
        <v>1418</v>
      </c>
      <c r="C57" s="659"/>
      <c r="D57" s="660"/>
      <c r="E57" s="659"/>
      <c r="F57" s="659"/>
      <c r="G57" s="659"/>
      <c r="H57" s="659"/>
    </row>
    <row r="58" spans="2:15">
      <c r="B58" s="661"/>
      <c r="C58" s="662" t="s">
        <v>1</v>
      </c>
      <c r="D58" s="663" t="s">
        <v>1397</v>
      </c>
      <c r="E58" s="662"/>
      <c r="F58" s="662" t="s">
        <v>1382</v>
      </c>
      <c r="G58" s="662" t="s">
        <v>993</v>
      </c>
      <c r="H58" s="662" t="s">
        <v>1383</v>
      </c>
    </row>
    <row r="59" spans="2:15">
      <c r="C59" s="872" t="s">
        <v>1419</v>
      </c>
      <c r="D59" s="871">
        <v>12</v>
      </c>
      <c r="E59" s="872" t="s">
        <v>1279</v>
      </c>
      <c r="F59" s="875">
        <v>0.16666666666666671</v>
      </c>
      <c r="G59" s="664" t="s">
        <v>1317</v>
      </c>
    </row>
    <row r="60" spans="2:15">
      <c r="C60" s="872" t="s">
        <v>1420</v>
      </c>
      <c r="D60" s="871">
        <v>5</v>
      </c>
      <c r="E60" s="872" t="s">
        <v>1279</v>
      </c>
      <c r="F60" s="875">
        <v>0.5</v>
      </c>
      <c r="G60" s="664" t="s">
        <v>1317</v>
      </c>
      <c r="O60" s="671"/>
    </row>
    <row r="61" spans="2:15" ht="16.5" customHeight="1" thickBot="1">
      <c r="B61" s="665"/>
      <c r="C61" s="869" t="s">
        <v>1421</v>
      </c>
      <c r="D61" s="868">
        <v>3</v>
      </c>
      <c r="E61" s="869" t="s">
        <v>1279</v>
      </c>
      <c r="F61" s="878">
        <v>0.33333333333333331</v>
      </c>
      <c r="G61" s="665" t="s">
        <v>1317</v>
      </c>
      <c r="H61" s="665"/>
    </row>
    <row r="62" spans="2:15" ht="16.5" customHeight="1" thickTop="1">
      <c r="C62" s="671" t="s">
        <v>1322</v>
      </c>
      <c r="D62" s="689">
        <f>SUMPRODUCT(D59:D61,F59:F61)</f>
        <v>5.5</v>
      </c>
      <c r="E62" s="671" t="s">
        <v>1279</v>
      </c>
      <c r="H62" s="664" t="s">
        <v>1405</v>
      </c>
    </row>
    <row r="64" spans="2:15">
      <c r="B64" s="658" t="s">
        <v>1422</v>
      </c>
      <c r="C64" s="659"/>
      <c r="D64" s="660"/>
      <c r="E64" s="659"/>
      <c r="F64" s="659"/>
      <c r="G64" s="659"/>
      <c r="H64" s="659"/>
      <c r="O64" s="671"/>
    </row>
    <row r="65" spans="2:15">
      <c r="B65" s="661"/>
      <c r="C65" s="662" t="s">
        <v>1</v>
      </c>
      <c r="D65" s="663" t="s">
        <v>1397</v>
      </c>
      <c r="E65" s="662"/>
      <c r="F65" s="662" t="s">
        <v>1382</v>
      </c>
      <c r="G65" s="662" t="s">
        <v>993</v>
      </c>
      <c r="H65" s="662" t="s">
        <v>1383</v>
      </c>
    </row>
    <row r="66" spans="2:15">
      <c r="C66" s="664" t="s">
        <v>1423</v>
      </c>
      <c r="D66" s="684">
        <v>6.9561309009828696</v>
      </c>
      <c r="E66" s="685" t="s">
        <v>1279</v>
      </c>
      <c r="F66" s="676">
        <v>0.5</v>
      </c>
      <c r="G66" s="664" t="s">
        <v>1195</v>
      </c>
    </row>
    <row r="67" spans="2:15" ht="16.5" customHeight="1" thickBot="1">
      <c r="B67" s="665"/>
      <c r="C67" s="665" t="s">
        <v>1424</v>
      </c>
      <c r="D67" s="687">
        <v>1.09234040823519</v>
      </c>
      <c r="E67" s="688" t="s">
        <v>1279</v>
      </c>
      <c r="F67" s="690">
        <v>0.5</v>
      </c>
      <c r="G67" s="665" t="s">
        <v>1195</v>
      </c>
      <c r="H67" s="665"/>
    </row>
    <row r="68" spans="2:15" ht="16.5" customHeight="1" thickTop="1">
      <c r="C68" s="671" t="s">
        <v>1425</v>
      </c>
      <c r="D68" s="682">
        <f>SUMPRODUCT(D66:D67,F66:F67)</f>
        <v>4.0242356546090301</v>
      </c>
      <c r="E68" s="683" t="s">
        <v>1279</v>
      </c>
      <c r="H68" s="664" t="s">
        <v>1405</v>
      </c>
    </row>
    <row r="70" spans="2:15">
      <c r="B70" s="658" t="s">
        <v>1426</v>
      </c>
      <c r="C70" s="659"/>
      <c r="D70" s="660"/>
      <c r="E70" s="659"/>
      <c r="F70" s="659"/>
      <c r="G70" s="659"/>
      <c r="H70" s="659"/>
      <c r="O70" s="671"/>
    </row>
    <row r="71" spans="2:15">
      <c r="B71" s="661"/>
      <c r="C71" s="662" t="s">
        <v>1</v>
      </c>
      <c r="D71" s="663" t="s">
        <v>1397</v>
      </c>
      <c r="E71" s="662"/>
      <c r="F71" s="662" t="s">
        <v>1382</v>
      </c>
      <c r="G71" s="662" t="s">
        <v>993</v>
      </c>
      <c r="H71" s="662" t="s">
        <v>1383</v>
      </c>
    </row>
    <row r="72" spans="2:15">
      <c r="C72" s="664" t="s">
        <v>1427</v>
      </c>
      <c r="D72" s="684">
        <v>0.82599999999999996</v>
      </c>
      <c r="E72" s="685" t="s">
        <v>1428</v>
      </c>
      <c r="F72" s="676"/>
      <c r="G72" s="664" t="s">
        <v>1195</v>
      </c>
    </row>
    <row r="73" spans="2:15">
      <c r="C73" s="664" t="s">
        <v>1429</v>
      </c>
      <c r="D73" s="684">
        <f>0.412*1.03</f>
        <v>0.42436000000000001</v>
      </c>
      <c r="E73" s="685" t="s">
        <v>1430</v>
      </c>
      <c r="F73" s="676"/>
      <c r="H73" s="664" t="s">
        <v>1431</v>
      </c>
    </row>
    <row r="74" spans="2:15">
      <c r="C74" s="664" t="s">
        <v>1432</v>
      </c>
      <c r="D74" s="684">
        <v>5.34</v>
      </c>
      <c r="E74" s="685" t="s">
        <v>1433</v>
      </c>
      <c r="F74" s="676"/>
      <c r="G74" s="664" t="s">
        <v>1195</v>
      </c>
    </row>
    <row r="75" spans="2:15" ht="16.5" customHeight="1" thickBot="1">
      <c r="B75" s="665"/>
      <c r="C75" s="665" t="s">
        <v>1434</v>
      </c>
      <c r="D75" s="687">
        <f>0.109</f>
        <v>0.109</v>
      </c>
      <c r="E75" s="688" t="s">
        <v>1435</v>
      </c>
      <c r="F75" s="690"/>
      <c r="G75" s="665"/>
      <c r="H75" s="665" t="s">
        <v>1431</v>
      </c>
    </row>
    <row r="76" spans="2:15" ht="16.5" customHeight="1" thickTop="1">
      <c r="C76" s="671" t="s">
        <v>1436</v>
      </c>
      <c r="D76" s="682">
        <f>D72*D73+D74*D75</f>
        <v>0.93258136000000003</v>
      </c>
      <c r="E76" s="683" t="s">
        <v>1437</v>
      </c>
      <c r="H76" s="664" t="s">
        <v>1405</v>
      </c>
    </row>
    <row r="77" spans="2:15" ht="16.5" customHeight="1">
      <c r="C77" s="671"/>
      <c r="D77" s="682">
        <f>D76/2</f>
        <v>0.46629068000000001</v>
      </c>
      <c r="E77" s="683"/>
    </row>
    <row r="78" spans="2:15">
      <c r="B78" s="658" t="s">
        <v>1438</v>
      </c>
      <c r="C78" s="659"/>
      <c r="D78" s="660"/>
      <c r="E78" s="659"/>
      <c r="F78" s="659"/>
      <c r="G78" s="659"/>
      <c r="H78" s="659"/>
    </row>
    <row r="79" spans="2:15">
      <c r="B79" s="661"/>
      <c r="C79" s="662" t="s">
        <v>1</v>
      </c>
      <c r="D79" s="663" t="s">
        <v>1397</v>
      </c>
      <c r="E79" s="662"/>
      <c r="F79" s="662" t="s">
        <v>1382</v>
      </c>
      <c r="G79" s="662" t="s">
        <v>993</v>
      </c>
      <c r="H79" s="662" t="s">
        <v>1383</v>
      </c>
    </row>
    <row r="80" spans="2:15">
      <c r="C80" s="664" t="s">
        <v>1439</v>
      </c>
      <c r="D80" s="684">
        <v>0.547325920710374</v>
      </c>
      <c r="E80" s="685" t="s">
        <v>1279</v>
      </c>
      <c r="F80" s="686">
        <f t="shared" ref="F80:F85" si="1">1/6</f>
        <v>0.16666666666666666</v>
      </c>
      <c r="G80" s="664" t="s">
        <v>1240</v>
      </c>
    </row>
    <row r="81" spans="2:15">
      <c r="C81" s="664" t="s">
        <v>1440</v>
      </c>
      <c r="D81" s="684">
        <v>2.14625571615553</v>
      </c>
      <c r="E81" s="685" t="s">
        <v>1279</v>
      </c>
      <c r="F81" s="686">
        <f t="shared" si="1"/>
        <v>0.16666666666666666</v>
      </c>
      <c r="G81" s="664" t="s">
        <v>1240</v>
      </c>
    </row>
    <row r="82" spans="2:15">
      <c r="C82" s="664" t="s">
        <v>1441</v>
      </c>
      <c r="D82" s="684">
        <v>0.415279831096249</v>
      </c>
      <c r="E82" s="685" t="s">
        <v>1279</v>
      </c>
      <c r="F82" s="686">
        <f t="shared" si="1"/>
        <v>0.16666666666666666</v>
      </c>
      <c r="G82" s="664" t="s">
        <v>1240</v>
      </c>
    </row>
    <row r="83" spans="2:15">
      <c r="C83" s="664" t="s">
        <v>1442</v>
      </c>
      <c r="D83" s="684">
        <v>3.3063303339830501</v>
      </c>
      <c r="E83" s="685" t="s">
        <v>1279</v>
      </c>
      <c r="F83" s="686">
        <f t="shared" si="1"/>
        <v>0.16666666666666666</v>
      </c>
      <c r="G83" s="664" t="s">
        <v>1240</v>
      </c>
    </row>
    <row r="84" spans="2:15">
      <c r="C84" s="664" t="s">
        <v>1443</v>
      </c>
      <c r="D84" s="684">
        <v>3.52662681896755</v>
      </c>
      <c r="E84" s="685" t="s">
        <v>1279</v>
      </c>
      <c r="F84" s="686">
        <f t="shared" si="1"/>
        <v>0.16666666666666666</v>
      </c>
      <c r="G84" s="664" t="s">
        <v>1240</v>
      </c>
    </row>
    <row r="85" spans="2:15" ht="16.5" customHeight="1" thickBot="1">
      <c r="B85" s="665"/>
      <c r="C85" s="665" t="s">
        <v>1444</v>
      </c>
      <c r="D85" s="687">
        <v>0.46158339355296202</v>
      </c>
      <c r="E85" s="688" t="s">
        <v>1279</v>
      </c>
      <c r="F85" s="670">
        <f t="shared" si="1"/>
        <v>0.16666666666666666</v>
      </c>
      <c r="G85" s="665" t="s">
        <v>1240</v>
      </c>
      <c r="H85" s="665"/>
    </row>
    <row r="86" spans="2:15" ht="16.5" customHeight="1" thickTop="1">
      <c r="C86" s="671" t="s">
        <v>416</v>
      </c>
      <c r="D86" s="682">
        <f>SUMPRODUCT(D80:D85,F80:F85)</f>
        <v>1.7339003357442857</v>
      </c>
      <c r="E86" s="683" t="s">
        <v>1279</v>
      </c>
      <c r="H86" s="664" t="s">
        <v>1405</v>
      </c>
    </row>
    <row r="88" spans="2:15">
      <c r="B88" s="658" t="s">
        <v>1445</v>
      </c>
      <c r="C88" s="659"/>
      <c r="D88" s="660"/>
      <c r="E88" s="659"/>
      <c r="F88" s="659"/>
      <c r="G88" s="659"/>
      <c r="H88" s="659"/>
      <c r="N88" s="671"/>
      <c r="O88" s="671"/>
    </row>
    <row r="89" spans="2:15">
      <c r="B89" s="661"/>
      <c r="C89" s="662" t="s">
        <v>1</v>
      </c>
      <c r="D89" s="663" t="s">
        <v>1397</v>
      </c>
      <c r="E89" s="662"/>
      <c r="F89" s="662" t="s">
        <v>1382</v>
      </c>
      <c r="G89" s="662" t="s">
        <v>993</v>
      </c>
      <c r="H89" s="662" t="s">
        <v>1383</v>
      </c>
    </row>
    <row r="90" spans="2:15">
      <c r="C90" s="664" t="s">
        <v>1446</v>
      </c>
      <c r="D90" s="684">
        <f>'Emission factors - list'!D92</f>
        <v>0.38666666666666666</v>
      </c>
      <c r="E90" s="685"/>
      <c r="F90" s="686">
        <v>0.7</v>
      </c>
    </row>
    <row r="91" spans="2:15">
      <c r="C91" s="664" t="s">
        <v>1332</v>
      </c>
      <c r="D91" s="684">
        <f>'Emission factors - list'!D90</f>
        <v>3.6666666666666665</v>
      </c>
      <c r="E91" s="685"/>
      <c r="F91" s="686">
        <v>0.2</v>
      </c>
    </row>
    <row r="92" spans="2:15" ht="16.5" customHeight="1" thickBot="1">
      <c r="B92" s="665"/>
      <c r="C92" s="665" t="s">
        <v>1447</v>
      </c>
      <c r="D92" s="687">
        <v>0.40920433437593601</v>
      </c>
      <c r="E92" s="688"/>
      <c r="F92" s="670">
        <v>0.1</v>
      </c>
      <c r="G92" s="665" t="s">
        <v>1195</v>
      </c>
      <c r="H92" s="665"/>
    </row>
    <row r="93" spans="2:15" ht="16.5" customHeight="1" thickTop="1">
      <c r="C93" s="671" t="s">
        <v>1339</v>
      </c>
      <c r="D93" s="682">
        <f>SUMPRODUCT(D90:D92,F90:F92)</f>
        <v>1.0449204334375937</v>
      </c>
      <c r="E93" s="683"/>
      <c r="H93" s="664" t="s">
        <v>1405</v>
      </c>
    </row>
    <row r="94" spans="2:15">
      <c r="C94" s="671"/>
      <c r="D94" s="682"/>
      <c r="E94" s="683"/>
    </row>
    <row r="95" spans="2:15">
      <c r="B95" s="658" t="s">
        <v>1448</v>
      </c>
      <c r="C95" s="659"/>
      <c r="D95" s="660"/>
      <c r="E95" s="659"/>
      <c r="F95" s="659"/>
      <c r="G95" s="659"/>
      <c r="H95" s="659"/>
      <c r="I95" s="659"/>
      <c r="J95" s="659"/>
      <c r="K95" s="659"/>
    </row>
    <row r="96" spans="2:15">
      <c r="B96" s="661"/>
      <c r="C96" s="662" t="s">
        <v>1</v>
      </c>
      <c r="D96" s="663" t="s">
        <v>1397</v>
      </c>
      <c r="E96" s="662"/>
      <c r="F96" s="691" t="s">
        <v>1449</v>
      </c>
      <c r="G96" s="691" t="s">
        <v>1450</v>
      </c>
      <c r="H96" s="691" t="s">
        <v>1451</v>
      </c>
      <c r="I96" s="692" t="s">
        <v>1382</v>
      </c>
      <c r="J96" s="661"/>
      <c r="K96" s="661"/>
    </row>
    <row r="97" spans="1:11" ht="16.5" customHeight="1" thickBot="1">
      <c r="B97" s="665"/>
      <c r="C97" s="665" t="s">
        <v>1452</v>
      </c>
      <c r="D97" s="693"/>
      <c r="E97" s="665"/>
      <c r="F97" s="665"/>
      <c r="G97" s="665"/>
      <c r="H97" s="665"/>
      <c r="I97" s="665"/>
      <c r="J97" s="665"/>
      <c r="K97" s="665"/>
    </row>
    <row r="98" spans="1:11" ht="16.5" customHeight="1" thickTop="1">
      <c r="C98" s="671" t="s">
        <v>1453</v>
      </c>
      <c r="D98" s="682">
        <f>SUMPRODUCT(F98:H98,I98:K98)</f>
        <v>20.029204</v>
      </c>
      <c r="E98" s="694"/>
      <c r="F98" s="695">
        <v>32.25</v>
      </c>
      <c r="G98" s="695">
        <v>1.61</v>
      </c>
      <c r="H98" s="696">
        <v>1.96204</v>
      </c>
      <c r="I98" s="697">
        <v>0.6</v>
      </c>
      <c r="J98" s="697">
        <v>0.3</v>
      </c>
      <c r="K98" s="697">
        <v>0.1</v>
      </c>
    </row>
    <row r="99" spans="1:11">
      <c r="C99" s="671" t="s">
        <v>1454</v>
      </c>
      <c r="D99" s="682">
        <f>SUMPRODUCT(F99:H99,I99:K99)</f>
        <v>7.4792039999999975</v>
      </c>
      <c r="E99" s="694"/>
      <c r="F99" s="695">
        <v>11.33333333333333</v>
      </c>
      <c r="G99" s="695">
        <v>1.61</v>
      </c>
      <c r="H99" s="696">
        <v>1.96204</v>
      </c>
      <c r="I99" s="697">
        <v>0.6</v>
      </c>
      <c r="J99" s="697">
        <v>0.3</v>
      </c>
      <c r="K99" s="697">
        <v>0.1</v>
      </c>
    </row>
    <row r="100" spans="1:11">
      <c r="C100" s="671" t="s">
        <v>1455</v>
      </c>
      <c r="D100" s="682">
        <f>SUMPRODUCT(F100:H100,I100:K100)</f>
        <v>3.006704</v>
      </c>
      <c r="E100" s="694"/>
      <c r="F100" s="695">
        <v>5.5</v>
      </c>
      <c r="G100" s="695">
        <v>1.61</v>
      </c>
      <c r="H100" s="696">
        <v>1.96204</v>
      </c>
      <c r="I100" s="697">
        <v>0.35</v>
      </c>
      <c r="J100" s="697">
        <v>0.55000000000000004</v>
      </c>
      <c r="K100" s="697">
        <v>0.1</v>
      </c>
    </row>
    <row r="101" spans="1:11">
      <c r="C101" s="671" t="s">
        <v>1456</v>
      </c>
      <c r="D101" s="682">
        <f>SUMPRODUCT(F101:H101,I101:K101)</f>
        <v>1.6885691175105002</v>
      </c>
      <c r="E101" s="694"/>
      <c r="F101" s="695">
        <v>1.7339003357442859</v>
      </c>
      <c r="G101" s="695">
        <v>1.61</v>
      </c>
      <c r="H101" s="696">
        <v>1.96204</v>
      </c>
      <c r="I101" s="697">
        <v>0.35</v>
      </c>
      <c r="J101" s="697">
        <v>0.55000000000000004</v>
      </c>
      <c r="K101" s="697">
        <v>0.1</v>
      </c>
    </row>
    <row r="102" spans="1:11">
      <c r="C102" s="671" t="s">
        <v>1457</v>
      </c>
      <c r="D102" s="682">
        <f>SUMPRODUCT(F102:H102,I102:K102)</f>
        <v>0.80920737180393776</v>
      </c>
      <c r="E102" s="694"/>
      <c r="F102" s="695">
        <v>0.47472971511986167</v>
      </c>
      <c r="G102" s="695">
        <v>0.88749999999999996</v>
      </c>
      <c r="H102" s="696">
        <v>1.96204</v>
      </c>
      <c r="I102" s="697">
        <v>0.45</v>
      </c>
      <c r="J102" s="697">
        <v>0.45</v>
      </c>
      <c r="K102" s="697">
        <v>0.1</v>
      </c>
    </row>
    <row r="104" spans="1:11" s="982" customFormat="1" ht="24">
      <c r="A104" s="982" t="s">
        <v>107</v>
      </c>
    </row>
    <row r="106" spans="1:11">
      <c r="B106" s="658" t="s">
        <v>1458</v>
      </c>
      <c r="C106" s="659"/>
      <c r="D106" s="660"/>
      <c r="E106" s="659"/>
      <c r="F106" s="659"/>
      <c r="G106" s="659"/>
      <c r="H106" s="659"/>
    </row>
    <row r="107" spans="1:11">
      <c r="B107" s="661"/>
      <c r="C107" s="662" t="s">
        <v>1</v>
      </c>
      <c r="D107" s="663" t="s">
        <v>1397</v>
      </c>
      <c r="E107" s="662"/>
      <c r="F107" s="662" t="s">
        <v>1382</v>
      </c>
      <c r="G107" s="662" t="s">
        <v>993</v>
      </c>
      <c r="H107" s="662" t="s">
        <v>1383</v>
      </c>
    </row>
    <row r="108" spans="1:11">
      <c r="B108" s="664" t="s">
        <v>1374</v>
      </c>
      <c r="C108" s="664" t="s">
        <v>1459</v>
      </c>
      <c r="D108" s="684">
        <v>1.8</v>
      </c>
      <c r="E108" s="685"/>
      <c r="F108" s="676">
        <v>0.4</v>
      </c>
      <c r="G108" s="664" t="s">
        <v>1243</v>
      </c>
    </row>
    <row r="109" spans="1:11">
      <c r="C109" s="664" t="s">
        <v>1460</v>
      </c>
      <c r="D109" s="684">
        <v>1.63</v>
      </c>
      <c r="E109" s="685"/>
      <c r="F109" s="676">
        <v>0.4</v>
      </c>
      <c r="G109" s="664" t="s">
        <v>1243</v>
      </c>
    </row>
    <row r="110" spans="1:11">
      <c r="C110" s="664" t="s">
        <v>1461</v>
      </c>
      <c r="D110" s="684">
        <v>2.25</v>
      </c>
      <c r="E110" s="685"/>
      <c r="F110" s="676">
        <v>0.1</v>
      </c>
      <c r="G110" s="664" t="s">
        <v>1243</v>
      </c>
    </row>
    <row r="111" spans="1:11" ht="16.5" customHeight="1" thickBot="1">
      <c r="B111" s="665"/>
      <c r="C111" s="665" t="s">
        <v>1462</v>
      </c>
      <c r="D111" s="687">
        <v>2.1040000000000001</v>
      </c>
      <c r="E111" s="688"/>
      <c r="F111" s="690">
        <v>0.1</v>
      </c>
      <c r="G111" s="665" t="s">
        <v>1243</v>
      </c>
      <c r="H111" s="665"/>
    </row>
    <row r="112" spans="1:11" ht="16.5" customHeight="1" thickTop="1">
      <c r="C112" s="671" t="s">
        <v>1463</v>
      </c>
      <c r="D112" s="682">
        <f>SUMPRODUCT(D108:D111,F108:F111)</f>
        <v>1.8074000000000003</v>
      </c>
      <c r="E112" s="683"/>
    </row>
    <row r="113" spans="2:8">
      <c r="B113" s="658" t="s">
        <v>1458</v>
      </c>
      <c r="C113" s="659"/>
      <c r="D113" s="660"/>
      <c r="E113" s="659"/>
      <c r="F113" s="659"/>
      <c r="G113" s="659"/>
      <c r="H113" s="659"/>
    </row>
    <row r="114" spans="2:8">
      <c r="B114" s="661"/>
      <c r="C114" s="662" t="s">
        <v>1</v>
      </c>
      <c r="D114" s="663" t="s">
        <v>1464</v>
      </c>
      <c r="E114" s="663" t="s">
        <v>1397</v>
      </c>
      <c r="F114" s="662" t="s">
        <v>1382</v>
      </c>
      <c r="G114" s="662" t="s">
        <v>993</v>
      </c>
      <c r="H114" s="662" t="s">
        <v>1383</v>
      </c>
    </row>
    <row r="115" spans="2:8">
      <c r="C115" s="664" t="s">
        <v>1459</v>
      </c>
      <c r="D115" s="669">
        <v>0.67320261437908502</v>
      </c>
      <c r="E115" s="698">
        <f>D115*D108</f>
        <v>1.2117647058823531</v>
      </c>
      <c r="F115" s="676">
        <f>F108</f>
        <v>0.4</v>
      </c>
      <c r="G115" s="664" t="s">
        <v>1465</v>
      </c>
      <c r="H115" s="664" t="s">
        <v>1466</v>
      </c>
    </row>
    <row r="116" spans="2:8" ht="170">
      <c r="C116" s="664" t="s">
        <v>1460</v>
      </c>
      <c r="D116" s="669">
        <v>0.28758169934640521</v>
      </c>
      <c r="E116" s="698">
        <f t="shared" ref="E116:E118" si="2">D116*D109</f>
        <v>0.46875816993464048</v>
      </c>
      <c r="F116" s="676">
        <f t="shared" ref="F116:F118" si="3">F109</f>
        <v>0.4</v>
      </c>
      <c r="G116" s="699" t="s">
        <v>1465</v>
      </c>
      <c r="H116" s="664" t="s">
        <v>1466</v>
      </c>
    </row>
    <row r="117" spans="2:8">
      <c r="C117" s="664" t="s">
        <v>1461</v>
      </c>
      <c r="D117" s="669">
        <v>0.1503579952267303</v>
      </c>
      <c r="E117" s="698">
        <f t="shared" si="2"/>
        <v>0.33830548926014314</v>
      </c>
      <c r="F117" s="676">
        <f t="shared" si="3"/>
        <v>0.1</v>
      </c>
      <c r="G117" s="664" t="s">
        <v>1465</v>
      </c>
      <c r="H117" s="664" t="s">
        <v>1466</v>
      </c>
    </row>
    <row r="118" spans="2:8">
      <c r="C118" s="664" t="s">
        <v>1462</v>
      </c>
      <c r="D118" s="669">
        <v>0.47350993377483458</v>
      </c>
      <c r="E118" s="698">
        <f t="shared" si="2"/>
        <v>0.99626490066225204</v>
      </c>
      <c r="F118" s="676">
        <f t="shared" si="3"/>
        <v>0.1</v>
      </c>
      <c r="G118" s="664" t="s">
        <v>1465</v>
      </c>
      <c r="H118" s="664" t="s">
        <v>1466</v>
      </c>
    </row>
    <row r="119" spans="2:8" ht="16.5" customHeight="1">
      <c r="C119" s="671" t="s">
        <v>1247</v>
      </c>
      <c r="D119" s="682">
        <f>SUMPRODUCT(D115:D118,F115:F118)</f>
        <v>0.44670051839035257</v>
      </c>
      <c r="E119" s="683"/>
    </row>
    <row r="121" spans="2:8">
      <c r="B121" s="658" t="s">
        <v>1467</v>
      </c>
      <c r="C121" s="659"/>
      <c r="D121" s="660"/>
      <c r="E121" s="659"/>
      <c r="F121" s="659"/>
      <c r="G121" s="659"/>
      <c r="H121" s="659"/>
    </row>
    <row r="122" spans="2:8">
      <c r="B122" s="661"/>
      <c r="C122" s="662" t="s">
        <v>1</v>
      </c>
      <c r="D122" s="663" t="s">
        <v>1397</v>
      </c>
      <c r="E122" s="662"/>
      <c r="F122" s="662" t="s">
        <v>1382</v>
      </c>
      <c r="G122" s="662" t="s">
        <v>993</v>
      </c>
      <c r="H122" s="662" t="s">
        <v>1383</v>
      </c>
    </row>
    <row r="123" spans="2:8">
      <c r="C123" s="664" t="s">
        <v>1468</v>
      </c>
      <c r="D123" s="684">
        <v>4.1896000000000004</v>
      </c>
      <c r="E123" s="685"/>
      <c r="F123" s="676">
        <v>0.95</v>
      </c>
    </row>
    <row r="124" spans="2:8" ht="16.5" customHeight="1" thickBot="1">
      <c r="B124" s="665"/>
      <c r="C124" s="665" t="s">
        <v>1469</v>
      </c>
      <c r="D124" s="687">
        <v>26.4788</v>
      </c>
      <c r="E124" s="688"/>
      <c r="F124" s="690">
        <v>0.05</v>
      </c>
      <c r="G124" s="665"/>
      <c r="H124" s="665"/>
    </row>
    <row r="125" spans="2:8" ht="16.5" customHeight="1" thickTop="1">
      <c r="C125" s="671" t="s">
        <v>1234</v>
      </c>
      <c r="D125" s="682">
        <f>SUMPRODUCT(D123:D124,F123:F124)</f>
        <v>5.3040600000000007</v>
      </c>
      <c r="E125" s="683"/>
    </row>
    <row r="127" spans="2:8">
      <c r="B127" s="658" t="s">
        <v>1470</v>
      </c>
      <c r="C127" s="659"/>
      <c r="D127" s="660"/>
      <c r="E127" s="659"/>
      <c r="F127" s="659"/>
      <c r="G127" s="659"/>
      <c r="H127" s="659"/>
    </row>
    <row r="128" spans="2:8">
      <c r="B128" s="661"/>
      <c r="C128" s="662" t="s">
        <v>1</v>
      </c>
      <c r="D128" s="663" t="s">
        <v>1397</v>
      </c>
      <c r="E128" s="662" t="s">
        <v>992</v>
      </c>
      <c r="F128" s="662"/>
      <c r="G128" s="662" t="s">
        <v>993</v>
      </c>
      <c r="H128" s="662" t="s">
        <v>1383</v>
      </c>
    </row>
    <row r="129" spans="1:10">
      <c r="C129" s="664" t="s">
        <v>1265</v>
      </c>
      <c r="D129" s="684">
        <v>0.02</v>
      </c>
      <c r="E129" s="685" t="s">
        <v>1266</v>
      </c>
      <c r="F129" s="676"/>
      <c r="G129" s="664" t="s">
        <v>1267</v>
      </c>
      <c r="J129" s="664" t="s">
        <v>1265</v>
      </c>
    </row>
    <row r="130" spans="1:10">
      <c r="C130" s="664" t="s">
        <v>1270</v>
      </c>
      <c r="D130" s="684">
        <v>0.191</v>
      </c>
      <c r="E130" s="685"/>
      <c r="F130" s="676"/>
      <c r="G130" s="664" t="s">
        <v>1271</v>
      </c>
    </row>
    <row r="131" spans="1:10" ht="16.5" customHeight="1" thickBot="1">
      <c r="B131" s="665"/>
      <c r="C131" s="665" t="s">
        <v>1274</v>
      </c>
      <c r="D131" s="883">
        <v>7.0000000000000001E-3</v>
      </c>
      <c r="E131" s="688" t="s">
        <v>1471</v>
      </c>
      <c r="F131" s="884"/>
      <c r="G131" s="884" t="s">
        <v>1609</v>
      </c>
      <c r="H131" s="665"/>
      <c r="J131" s="664" t="s">
        <v>1472</v>
      </c>
    </row>
    <row r="132" spans="1:10" ht="16.5" customHeight="1" thickTop="1">
      <c r="C132" s="664" t="s">
        <v>1268</v>
      </c>
      <c r="D132" s="664">
        <v>7.1000000000000004E-3</v>
      </c>
      <c r="E132" s="664" t="s">
        <v>1266</v>
      </c>
      <c r="G132" s="664" t="s">
        <v>1269</v>
      </c>
    </row>
    <row r="133" spans="1:10">
      <c r="C133" s="664" t="s">
        <v>1272</v>
      </c>
      <c r="D133" s="664">
        <v>9.2999999999999992E-3</v>
      </c>
      <c r="E133" s="664" t="s">
        <v>1266</v>
      </c>
      <c r="G133" s="664" t="s">
        <v>1273</v>
      </c>
      <c r="J133" s="664" t="s">
        <v>1274</v>
      </c>
    </row>
    <row r="134" spans="1:10">
      <c r="C134" s="664" t="s">
        <v>1276</v>
      </c>
      <c r="D134" s="664">
        <f>3.3/250</f>
        <v>1.32E-2</v>
      </c>
      <c r="E134" s="664" t="s">
        <v>1266</v>
      </c>
      <c r="G134" s="664" t="s">
        <v>1277</v>
      </c>
    </row>
    <row r="135" spans="1:10">
      <c r="D135" s="983"/>
      <c r="E135" s="984"/>
      <c r="F135" s="676"/>
    </row>
    <row r="136" spans="1:10">
      <c r="D136" s="983"/>
      <c r="E136" s="984"/>
      <c r="F136" s="676"/>
    </row>
    <row r="138" spans="1:10" s="985" customFormat="1" ht="26">
      <c r="B138" s="909"/>
      <c r="C138" s="922" t="s">
        <v>1473</v>
      </c>
      <c r="D138" s="922">
        <v>0.130156470677741</v>
      </c>
      <c r="E138" s="922" t="s">
        <v>1474</v>
      </c>
      <c r="F138" s="922"/>
      <c r="G138" s="922" t="s">
        <v>1195</v>
      </c>
      <c r="H138" s="922" t="s">
        <v>1196</v>
      </c>
      <c r="I138" s="922"/>
    </row>
    <row r="139" spans="1:10" s="985" customFormat="1" ht="26">
      <c r="B139" s="909"/>
      <c r="C139" s="922" t="s">
        <v>1475</v>
      </c>
      <c r="D139" s="922">
        <v>0.391341198434138</v>
      </c>
      <c r="E139" s="922" t="s">
        <v>1476</v>
      </c>
      <c r="F139" s="922"/>
      <c r="G139" s="922" t="s">
        <v>1195</v>
      </c>
      <c r="H139" s="922" t="s">
        <v>1196</v>
      </c>
      <c r="I139" s="922"/>
    </row>
    <row r="140" spans="1:10" s="985" customFormat="1" ht="26">
      <c r="B140" s="909"/>
      <c r="C140" s="922" t="s">
        <v>1477</v>
      </c>
      <c r="D140" s="922">
        <v>0.10493302840869401</v>
      </c>
      <c r="E140" s="922" t="s">
        <v>1478</v>
      </c>
      <c r="F140" s="922"/>
      <c r="G140" s="922" t="s">
        <v>1195</v>
      </c>
      <c r="H140" s="922" t="s">
        <v>1196</v>
      </c>
      <c r="I140" s="922"/>
    </row>
    <row r="141" spans="1:10" s="985" customFormat="1" ht="26">
      <c r="B141" s="909"/>
      <c r="C141" s="922" t="s">
        <v>1479</v>
      </c>
      <c r="D141" s="922">
        <v>7.0205996669185505E-2</v>
      </c>
      <c r="E141" s="922" t="s">
        <v>1478</v>
      </c>
      <c r="F141" s="922"/>
      <c r="G141" s="922" t="s">
        <v>1195</v>
      </c>
      <c r="H141" s="922" t="s">
        <v>1196</v>
      </c>
      <c r="I141" s="922"/>
    </row>
    <row r="142" spans="1:10" s="985" customFormat="1" ht="26">
      <c r="B142" s="909"/>
      <c r="C142" s="922" t="s">
        <v>1480</v>
      </c>
      <c r="D142" s="922">
        <v>9.1009716533214394E-2</v>
      </c>
      <c r="E142" s="922" t="s">
        <v>1478</v>
      </c>
      <c r="F142" s="922"/>
      <c r="G142" s="922" t="s">
        <v>1195</v>
      </c>
      <c r="H142" s="922" t="s">
        <v>1196</v>
      </c>
      <c r="I142" s="922"/>
    </row>
    <row r="144" spans="1:10" s="989" customFormat="1" ht="24">
      <c r="A144" s="989" t="s">
        <v>1612</v>
      </c>
    </row>
    <row r="146" spans="2:8">
      <c r="B146" s="658" t="s">
        <v>1481</v>
      </c>
      <c r="C146" s="659"/>
      <c r="D146" s="660"/>
      <c r="E146" s="659"/>
      <c r="F146" s="659"/>
      <c r="G146" s="659"/>
      <c r="H146" s="659"/>
    </row>
    <row r="147" spans="2:8">
      <c r="B147" s="661"/>
      <c r="C147" s="662" t="s">
        <v>1</v>
      </c>
      <c r="D147" s="663" t="s">
        <v>1397</v>
      </c>
      <c r="E147" s="662"/>
      <c r="F147" s="662" t="s">
        <v>1382</v>
      </c>
      <c r="G147" s="662" t="s">
        <v>993</v>
      </c>
      <c r="H147" s="662" t="s">
        <v>1383</v>
      </c>
    </row>
    <row r="148" spans="2:8">
      <c r="C148" s="664" t="s">
        <v>1482</v>
      </c>
      <c r="D148" s="684">
        <v>9.8183058023715422</v>
      </c>
      <c r="E148" s="685" t="s">
        <v>1483</v>
      </c>
      <c r="F148" s="686">
        <f>1/5</f>
        <v>0.2</v>
      </c>
      <c r="G148" s="986" t="s">
        <v>1484</v>
      </c>
    </row>
    <row r="149" spans="2:8">
      <c r="C149" s="664" t="s">
        <v>1485</v>
      </c>
      <c r="D149" s="684">
        <v>22.657628774703561</v>
      </c>
      <c r="E149" s="685" t="s">
        <v>1483</v>
      </c>
      <c r="F149" s="686">
        <f>1/5</f>
        <v>0.2</v>
      </c>
      <c r="G149" s="986" t="s">
        <v>1484</v>
      </c>
    </row>
    <row r="150" spans="2:8">
      <c r="C150" s="664" t="s">
        <v>1486</v>
      </c>
      <c r="D150" s="684">
        <v>6.293785770750989</v>
      </c>
      <c r="E150" s="685" t="s">
        <v>1483</v>
      </c>
      <c r="F150" s="686">
        <f>1/5</f>
        <v>0.2</v>
      </c>
      <c r="G150" s="986" t="s">
        <v>1484</v>
      </c>
    </row>
    <row r="151" spans="2:8">
      <c r="C151" s="664" t="s">
        <v>1487</v>
      </c>
      <c r="D151" s="684">
        <v>10.070057233201579</v>
      </c>
      <c r="E151" s="685" t="s">
        <v>1483</v>
      </c>
      <c r="F151" s="686">
        <f>1/5</f>
        <v>0.2</v>
      </c>
      <c r="G151" s="986" t="s">
        <v>1484</v>
      </c>
    </row>
    <row r="152" spans="2:8" ht="16.5" customHeight="1" thickBot="1">
      <c r="B152" s="665"/>
      <c r="C152" s="665" t="s">
        <v>1488</v>
      </c>
      <c r="D152" s="687">
        <v>88.113000790513837</v>
      </c>
      <c r="E152" s="688" t="s">
        <v>1483</v>
      </c>
      <c r="F152" s="690">
        <f>1/5</f>
        <v>0.2</v>
      </c>
      <c r="G152" s="987" t="s">
        <v>1484</v>
      </c>
      <c r="H152" s="665"/>
    </row>
    <row r="153" spans="2:8" ht="16.5" customHeight="1" thickTop="1">
      <c r="C153" s="671" t="s">
        <v>1489</v>
      </c>
      <c r="D153" s="682">
        <f>SUMPRODUCT(D148:D152,F148:F152)/1000</f>
        <v>2.7390555674308304E-2</v>
      </c>
      <c r="E153" s="683" t="s">
        <v>1490</v>
      </c>
    </row>
    <row r="155" spans="2:8">
      <c r="B155" s="658" t="s">
        <v>1491</v>
      </c>
      <c r="C155" s="659"/>
      <c r="D155" s="660"/>
      <c r="E155" s="659"/>
      <c r="F155" s="659"/>
      <c r="G155" s="659"/>
      <c r="H155" s="659"/>
    </row>
    <row r="156" spans="2:8">
      <c r="B156" s="661"/>
      <c r="C156" s="662" t="s">
        <v>1</v>
      </c>
      <c r="D156" s="663" t="s">
        <v>1397</v>
      </c>
      <c r="E156" s="662"/>
      <c r="F156" s="662" t="s">
        <v>1382</v>
      </c>
      <c r="G156" s="662" t="s">
        <v>993</v>
      </c>
      <c r="H156" s="662" t="s">
        <v>1383</v>
      </c>
    </row>
    <row r="157" spans="2:8">
      <c r="C157" s="664" t="s">
        <v>1492</v>
      </c>
      <c r="D157" s="684">
        <v>25.17514308300396</v>
      </c>
      <c r="E157" s="685" t="s">
        <v>1483</v>
      </c>
      <c r="F157" s="676">
        <v>0.95</v>
      </c>
      <c r="G157" s="986" t="s">
        <v>1484</v>
      </c>
    </row>
    <row r="158" spans="2:8" ht="16.5" customHeight="1" thickBot="1">
      <c r="B158" s="665"/>
      <c r="C158" s="665" t="s">
        <v>1493</v>
      </c>
      <c r="D158" s="687">
        <v>6.9231643478260869</v>
      </c>
      <c r="E158" s="688" t="s">
        <v>1483</v>
      </c>
      <c r="F158" s="690">
        <v>0.05</v>
      </c>
      <c r="G158" s="987" t="s">
        <v>1484</v>
      </c>
      <c r="H158" s="665"/>
    </row>
    <row r="159" spans="2:8" ht="16.5" customHeight="1" thickTop="1">
      <c r="C159" s="671" t="s">
        <v>1494</v>
      </c>
      <c r="D159" s="682">
        <f>SUMPRODUCT(D157:D158,F157:F158)/1000</f>
        <v>2.4262544146245065E-2</v>
      </c>
      <c r="E159" s="683" t="s">
        <v>1490</v>
      </c>
    </row>
    <row r="161" spans="2:8">
      <c r="B161" s="658" t="s">
        <v>1495</v>
      </c>
      <c r="C161" s="659"/>
      <c r="D161" s="660"/>
      <c r="E161" s="659"/>
      <c r="F161" s="659"/>
      <c r="G161" s="659"/>
      <c r="H161" s="659"/>
    </row>
    <row r="162" spans="2:8">
      <c r="B162" s="661"/>
      <c r="C162" s="662" t="s">
        <v>1</v>
      </c>
      <c r="D162" s="663" t="s">
        <v>1397</v>
      </c>
      <c r="E162" s="662"/>
      <c r="F162" s="662" t="s">
        <v>1382</v>
      </c>
      <c r="G162" s="662" t="s">
        <v>993</v>
      </c>
      <c r="H162" s="662" t="s">
        <v>1383</v>
      </c>
    </row>
    <row r="163" spans="2:8">
      <c r="C163" s="664" t="s">
        <v>1496</v>
      </c>
      <c r="D163" s="684">
        <v>0.01</v>
      </c>
      <c r="E163" s="685" t="s">
        <v>1497</v>
      </c>
      <c r="F163" s="676"/>
      <c r="G163" s="986" t="s">
        <v>1498</v>
      </c>
    </row>
    <row r="164" spans="2:8">
      <c r="C164" s="664" t="s">
        <v>1499</v>
      </c>
      <c r="D164" s="684">
        <v>0.06</v>
      </c>
      <c r="E164" s="685" t="s">
        <v>1497</v>
      </c>
      <c r="F164" s="676"/>
      <c r="G164" s="986"/>
    </row>
    <row r="165" spans="2:8">
      <c r="C165" s="664" t="s">
        <v>1500</v>
      </c>
      <c r="D165" s="684">
        <f>D163+D164</f>
        <v>6.9999999999999993E-2</v>
      </c>
      <c r="E165" s="685"/>
      <c r="F165" s="676"/>
      <c r="G165" s="986"/>
    </row>
    <row r="166" spans="2:8" ht="16.5" customHeight="1" thickBot="1">
      <c r="B166" s="665"/>
      <c r="C166" s="665" t="s">
        <v>1501</v>
      </c>
      <c r="D166" s="687">
        <v>6.9231643478260869</v>
      </c>
      <c r="E166" s="688" t="s">
        <v>1502</v>
      </c>
      <c r="F166" s="690"/>
      <c r="G166" s="987" t="s">
        <v>1484</v>
      </c>
      <c r="H166" s="665"/>
    </row>
    <row r="167" spans="2:8" ht="16.5" customHeight="1" thickTop="1">
      <c r="C167" s="671" t="s">
        <v>1494</v>
      </c>
      <c r="D167" s="682">
        <f>D163*D166/1000</f>
        <v>6.9231643478260871E-5</v>
      </c>
      <c r="E167" s="683" t="s">
        <v>1503</v>
      </c>
    </row>
    <row r="169" spans="2:8">
      <c r="B169" s="664" t="s">
        <v>1504</v>
      </c>
    </row>
    <row r="170" spans="2:8">
      <c r="C170" s="988" t="s">
        <v>1505</v>
      </c>
      <c r="D170" s="686">
        <v>0.80563380281690145</v>
      </c>
    </row>
    <row r="171" spans="2:8">
      <c r="C171" s="988" t="s">
        <v>1506</v>
      </c>
      <c r="D171" s="686">
        <v>0.19436619718309861</v>
      </c>
    </row>
    <row r="173" spans="2:8">
      <c r="B173" s="664" t="s">
        <v>1507</v>
      </c>
    </row>
    <row r="174" spans="2:8">
      <c r="C174" s="664" t="s">
        <v>1508</v>
      </c>
      <c r="D174" s="669">
        <v>0.3</v>
      </c>
    </row>
    <row r="178" spans="2:10">
      <c r="B178" s="664" t="s">
        <v>1509</v>
      </c>
      <c r="E178" s="664" t="s">
        <v>1510</v>
      </c>
      <c r="F178" s="664" t="s">
        <v>1511</v>
      </c>
      <c r="G178" s="664" t="s">
        <v>1497</v>
      </c>
      <c r="H178" s="664" t="s">
        <v>1193</v>
      </c>
      <c r="I178" s="664" t="s">
        <v>1185</v>
      </c>
      <c r="J178" s="664" t="s">
        <v>1512</v>
      </c>
    </row>
    <row r="179" spans="2:10">
      <c r="D179" s="689" t="s">
        <v>1513</v>
      </c>
    </row>
    <row r="180" spans="2:10">
      <c r="C180" s="664" t="s">
        <v>546</v>
      </c>
      <c r="D180" s="669" t="s">
        <v>1514</v>
      </c>
      <c r="E180" s="664">
        <v>0.15</v>
      </c>
      <c r="F180" s="700">
        <f>E180/1000</f>
        <v>1.4999999999999999E-4</v>
      </c>
      <c r="G180" s="698">
        <f>$D$165</f>
        <v>6.9999999999999993E-2</v>
      </c>
      <c r="H180" s="664">
        <f>'Emission factors - list'!$D$7</f>
        <v>0.38521996819553</v>
      </c>
      <c r="I180" s="812">
        <f>H180*G180</f>
        <v>2.6965397773687099E-2</v>
      </c>
      <c r="J180" s="701">
        <f>I180*F180</f>
        <v>4.0448096660530648E-6</v>
      </c>
    </row>
    <row r="181" spans="2:10">
      <c r="C181" s="664" t="s">
        <v>549</v>
      </c>
      <c r="D181" s="669" t="s">
        <v>1515</v>
      </c>
      <c r="E181" s="664">
        <v>3</v>
      </c>
      <c r="F181" s="700">
        <f>E181/1000</f>
        <v>3.0000000000000001E-3</v>
      </c>
      <c r="G181" s="698">
        <f t="shared" ref="G181:G183" si="4">$D$165</f>
        <v>6.9999999999999993E-2</v>
      </c>
      <c r="H181" s="664">
        <f>'Emission factors - list'!$D$7</f>
        <v>0.38521996819553</v>
      </c>
      <c r="I181" s="664">
        <f t="shared" ref="I181:I183" si="5">H181*G181</f>
        <v>2.6965397773687099E-2</v>
      </c>
      <c r="J181" s="701">
        <f t="shared" ref="J181:J183" si="6">I181*F181</f>
        <v>8.08961933210613E-5</v>
      </c>
    </row>
    <row r="182" spans="2:10">
      <c r="C182" s="664" t="s">
        <v>552</v>
      </c>
      <c r="D182" s="669" t="s">
        <v>1516</v>
      </c>
      <c r="E182" s="664">
        <f>F182*1000</f>
        <v>4.1333333333333337</v>
      </c>
      <c r="F182" s="700">
        <f>E196</f>
        <v>4.1333333333333335E-3</v>
      </c>
      <c r="G182" s="698">
        <f t="shared" si="4"/>
        <v>6.9999999999999993E-2</v>
      </c>
      <c r="H182" s="664">
        <f>'Emission factors - list'!$D$7</f>
        <v>0.38521996819553</v>
      </c>
      <c r="I182" s="664">
        <f t="shared" si="5"/>
        <v>2.6965397773687099E-2</v>
      </c>
      <c r="J182" s="701">
        <f t="shared" si="6"/>
        <v>1.1145697746457335E-4</v>
      </c>
    </row>
    <row r="183" spans="2:10">
      <c r="C183" s="664" t="s">
        <v>555</v>
      </c>
      <c r="D183" s="669" t="s">
        <v>1517</v>
      </c>
      <c r="E183" s="664">
        <v>1000</v>
      </c>
      <c r="F183" s="700">
        <v>1</v>
      </c>
      <c r="G183" s="698">
        <f t="shared" si="4"/>
        <v>6.9999999999999993E-2</v>
      </c>
      <c r="H183" s="664">
        <f>'Emission factors - list'!$D$7</f>
        <v>0.38521996819553</v>
      </c>
      <c r="I183" s="664">
        <f t="shared" si="5"/>
        <v>2.6965397773687099E-2</v>
      </c>
      <c r="J183" s="701">
        <f t="shared" si="6"/>
        <v>2.6965397773687099E-2</v>
      </c>
    </row>
    <row r="185" spans="2:10">
      <c r="C185" s="664" t="s">
        <v>1518</v>
      </c>
    </row>
    <row r="186" spans="2:10">
      <c r="E186" s="669">
        <v>0.5</v>
      </c>
      <c r="F186" s="664" t="s">
        <v>1519</v>
      </c>
    </row>
    <row r="187" spans="2:10">
      <c r="E187" s="669">
        <f>E186/60</f>
        <v>8.3333333333333332E-3</v>
      </c>
      <c r="F187" s="664" t="s">
        <v>1520</v>
      </c>
    </row>
    <row r="188" spans="2:10">
      <c r="E188" s="669">
        <v>2</v>
      </c>
      <c r="F188" s="664" t="s">
        <v>1521</v>
      </c>
    </row>
    <row r="189" spans="2:10">
      <c r="E189" s="669"/>
    </row>
    <row r="190" spans="2:10">
      <c r="E190" s="669">
        <f>E188*E187</f>
        <v>1.6666666666666666E-2</v>
      </c>
      <c r="F190" s="664" t="s">
        <v>1522</v>
      </c>
    </row>
    <row r="191" spans="2:10">
      <c r="E191" s="669">
        <v>1E-3</v>
      </c>
      <c r="F191" s="664" t="s">
        <v>1523</v>
      </c>
    </row>
    <row r="192" spans="2:10">
      <c r="D192" s="664"/>
      <c r="E192" s="669"/>
    </row>
    <row r="193" spans="4:6">
      <c r="D193" s="664"/>
      <c r="E193" s="702">
        <v>0.2</v>
      </c>
      <c r="F193" s="664" t="s">
        <v>1524</v>
      </c>
    </row>
    <row r="194" spans="4:6">
      <c r="D194" s="664"/>
      <c r="E194" s="702">
        <v>0.8</v>
      </c>
      <c r="F194" s="664" t="s">
        <v>1525</v>
      </c>
    </row>
    <row r="195" spans="4:6">
      <c r="D195" s="664"/>
      <c r="E195" s="669"/>
    </row>
    <row r="196" spans="4:6">
      <c r="D196" s="664"/>
      <c r="E196" s="669">
        <f>SUMPRODUCT(E190:E191,E193:E194)</f>
        <v>4.1333333333333335E-3</v>
      </c>
      <c r="F196" s="664" t="s">
        <v>1526</v>
      </c>
    </row>
  </sheetData>
  <hyperlinks>
    <hyperlink ref="G131" r:id="rId1" display="https://missionreuse.com/wp-content/uploads/2023/03/reusable-tableware-at-festivals.pdf" xr:uid="{773C02ED-2FC8-4BFC-8227-31ECF696022E}"/>
  </hyperlinks>
  <pageMargins left="0.7" right="0.7" top="0.75" bottom="0.75" header="0.3" footer="0.3"/>
  <pageSetup paperSize="9" orientation="portrait"/>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47C4-058C-4268-B8DC-C66FE32E43DC}">
  <sheetPr codeName="Sheet14"/>
  <dimension ref="B6:O168"/>
  <sheetViews>
    <sheetView zoomScale="115" zoomScaleNormal="115" workbookViewId="0">
      <selection activeCell="B24" sqref="B24"/>
    </sheetView>
  </sheetViews>
  <sheetFormatPr baseColWidth="10" defaultColWidth="8.83203125" defaultRowHeight="16"/>
  <cols>
    <col min="2" max="2" width="17.6640625" bestFit="1" customWidth="1"/>
    <col min="3" max="3" width="15.5" bestFit="1" customWidth="1"/>
    <col min="4" max="4" width="10.5" bestFit="1" customWidth="1"/>
    <col min="5" max="5" width="13" bestFit="1" customWidth="1"/>
    <col min="6" max="6" width="14.1640625" bestFit="1" customWidth="1"/>
    <col min="7" max="7" width="10.5" bestFit="1" customWidth="1"/>
    <col min="8" max="8" width="13" bestFit="1" customWidth="1"/>
    <col min="9" max="9" width="15.1640625" bestFit="1" customWidth="1"/>
    <col min="10" max="10" width="17.33203125" bestFit="1" customWidth="1"/>
    <col min="11" max="13" width="15.1640625" bestFit="1" customWidth="1"/>
    <col min="14" max="14" width="11" bestFit="1" customWidth="1"/>
    <col min="15" max="15" width="11.1640625" bestFit="1" customWidth="1"/>
    <col min="16" max="16" width="10.6640625" bestFit="1" customWidth="1"/>
    <col min="17" max="17" width="11" bestFit="1" customWidth="1"/>
    <col min="18" max="18" width="14.1640625" bestFit="1" customWidth="1"/>
    <col min="19" max="19" width="9.5" bestFit="1" customWidth="1"/>
    <col min="20" max="20" width="14.5" bestFit="1" customWidth="1"/>
    <col min="21" max="21" width="14.1640625" bestFit="1" customWidth="1"/>
    <col min="22" max="22" width="9.5" bestFit="1" customWidth="1"/>
    <col min="23" max="23" width="14.5" bestFit="1" customWidth="1"/>
    <col min="24" max="24" width="14.1640625" bestFit="1" customWidth="1"/>
    <col min="25" max="25" width="9.5" bestFit="1" customWidth="1"/>
    <col min="26" max="26" width="14.5" bestFit="1" customWidth="1"/>
    <col min="27" max="27" width="6.1640625" bestFit="1" customWidth="1"/>
    <col min="28" max="28" width="11.33203125" bestFit="1" customWidth="1"/>
    <col min="29" max="29" width="15.83203125" bestFit="1" customWidth="1"/>
    <col min="30" max="30" width="17.83203125" bestFit="1" customWidth="1"/>
    <col min="31" max="31" width="9.5" bestFit="1" customWidth="1"/>
    <col min="32" max="32" width="14.5" bestFit="1" customWidth="1"/>
    <col min="33" max="33" width="14.1640625" bestFit="1" customWidth="1"/>
    <col min="34" max="34" width="9.5" bestFit="1" customWidth="1"/>
    <col min="35" max="35" width="14.5" bestFit="1" customWidth="1"/>
    <col min="36" max="36" width="11" bestFit="1" customWidth="1"/>
    <col min="37" max="37" width="5.83203125" bestFit="1" customWidth="1"/>
    <col min="38" max="38" width="6.6640625" bestFit="1" customWidth="1"/>
    <col min="39" max="39" width="6.1640625" bestFit="1" customWidth="1"/>
    <col min="40" max="40" width="9.1640625" bestFit="1" customWidth="1"/>
    <col min="41" max="41" width="7" bestFit="1" customWidth="1"/>
    <col min="42" max="42" width="8.1640625" bestFit="1" customWidth="1"/>
    <col min="43" max="43" width="10.6640625" bestFit="1" customWidth="1"/>
    <col min="44" max="44" width="11.1640625" bestFit="1" customWidth="1"/>
    <col min="45" max="45" width="17.6640625" bestFit="1" customWidth="1"/>
    <col min="46" max="46" width="15.6640625" bestFit="1" customWidth="1"/>
    <col min="47" max="47" width="40.83203125" bestFit="1" customWidth="1"/>
    <col min="48" max="48" width="6.6640625" bestFit="1" customWidth="1"/>
    <col min="49" max="49" width="6.1640625" bestFit="1" customWidth="1"/>
    <col min="50" max="50" width="9.33203125" bestFit="1" customWidth="1"/>
    <col min="51" max="51" width="8.5" bestFit="1" customWidth="1"/>
    <col min="52" max="52" width="10.83203125" bestFit="1" customWidth="1"/>
    <col min="53" max="53" width="23.5" bestFit="1" customWidth="1"/>
    <col min="54" max="54" width="9.83203125" bestFit="1" customWidth="1"/>
    <col min="55" max="55" width="16.6640625" bestFit="1" customWidth="1"/>
    <col min="56" max="56" width="16.5" bestFit="1" customWidth="1"/>
    <col min="57" max="58" width="6.1640625" bestFit="1" customWidth="1"/>
    <col min="59" max="59" width="16.1640625" bestFit="1" customWidth="1"/>
    <col min="60" max="60" width="16" bestFit="1" customWidth="1"/>
    <col min="61" max="61" width="6.5" bestFit="1" customWidth="1"/>
    <col min="62" max="62" width="46.6640625" bestFit="1" customWidth="1"/>
    <col min="63" max="63" width="19.1640625" bestFit="1" customWidth="1"/>
    <col min="64" max="64" width="19.5" bestFit="1" customWidth="1"/>
    <col min="65" max="65" width="10.6640625" bestFit="1" customWidth="1"/>
    <col min="66" max="66" width="5.6640625" bestFit="1" customWidth="1"/>
    <col min="67" max="67" width="6.83203125" bestFit="1" customWidth="1"/>
    <col min="68" max="68" width="13.6640625" bestFit="1" customWidth="1"/>
    <col min="69" max="69" width="16.1640625" bestFit="1" customWidth="1"/>
    <col min="70" max="71" width="6.5" bestFit="1" customWidth="1"/>
    <col min="72" max="72" width="16.1640625" bestFit="1" customWidth="1"/>
    <col min="73" max="73" width="36" bestFit="1" customWidth="1"/>
    <col min="74" max="74" width="13.5" bestFit="1" customWidth="1"/>
    <col min="75" max="75" width="13" bestFit="1" customWidth="1"/>
    <col min="76" max="76" width="23.6640625" bestFit="1" customWidth="1"/>
    <col min="77" max="77" width="6.6640625" bestFit="1" customWidth="1"/>
    <col min="78" max="78" width="6.1640625" bestFit="1" customWidth="1"/>
    <col min="79" max="79" width="9.33203125" bestFit="1" customWidth="1"/>
    <col min="80" max="80" width="8.5" bestFit="1" customWidth="1"/>
    <col min="81" max="81" width="10.83203125" bestFit="1" customWidth="1"/>
    <col min="82" max="82" width="9.1640625" bestFit="1" customWidth="1"/>
    <col min="83" max="83" width="9.6640625" bestFit="1" customWidth="1"/>
    <col min="84" max="84" width="7.1640625" bestFit="1" customWidth="1"/>
    <col min="85" max="85" width="13.6640625" bestFit="1" customWidth="1"/>
    <col min="86" max="86" width="9.1640625" bestFit="1" customWidth="1"/>
    <col min="87" max="87" width="13.5" bestFit="1" customWidth="1"/>
    <col min="88" max="88" width="9.83203125" bestFit="1" customWidth="1"/>
    <col min="89" max="89" width="7.33203125" bestFit="1" customWidth="1"/>
    <col min="90" max="90" width="7.1640625" bestFit="1" customWidth="1"/>
    <col min="91" max="91" width="10" bestFit="1" customWidth="1"/>
    <col min="92" max="92" width="17.6640625" bestFit="1" customWidth="1"/>
    <col min="93" max="93" width="13.1640625" bestFit="1" customWidth="1"/>
    <col min="94" max="94" width="12.83203125" bestFit="1" customWidth="1"/>
    <col min="95" max="95" width="13.5" bestFit="1" customWidth="1"/>
    <col min="96" max="96" width="12" bestFit="1" customWidth="1"/>
    <col min="97" max="97" width="16.6640625" bestFit="1" customWidth="1"/>
    <col min="98" max="98" width="11.1640625" bestFit="1" customWidth="1"/>
    <col min="99" max="99" width="17.6640625" bestFit="1" customWidth="1"/>
    <col min="100" max="100" width="13.1640625" bestFit="1" customWidth="1"/>
    <col min="101" max="101" width="12.83203125" bestFit="1" customWidth="1"/>
    <col min="102" max="102" width="13.5" bestFit="1" customWidth="1"/>
    <col min="103" max="103" width="12" bestFit="1" customWidth="1"/>
    <col min="104" max="104" width="16.6640625" bestFit="1" customWidth="1"/>
    <col min="105" max="105" width="11.1640625" bestFit="1" customWidth="1"/>
    <col min="106" max="106" width="8.5" bestFit="1" customWidth="1"/>
    <col min="107" max="107" width="10.83203125" bestFit="1" customWidth="1"/>
    <col min="108" max="108" width="27" bestFit="1" customWidth="1"/>
    <col min="109" max="109" width="9.1640625" bestFit="1" customWidth="1"/>
    <col min="110" max="110" width="9.6640625" bestFit="1" customWidth="1"/>
    <col min="111" max="111" width="7.1640625" bestFit="1" customWidth="1"/>
    <col min="112" max="112" width="13.6640625" bestFit="1" customWidth="1"/>
    <col min="113" max="113" width="9.1640625" bestFit="1" customWidth="1"/>
    <col min="114" max="114" width="13.5" bestFit="1" customWidth="1"/>
    <col min="115" max="115" width="9.83203125" bestFit="1" customWidth="1"/>
    <col min="116" max="116" width="7.33203125" bestFit="1" customWidth="1"/>
    <col min="117" max="117" width="7.1640625" bestFit="1" customWidth="1"/>
    <col min="118" max="118" width="12.33203125" bestFit="1" customWidth="1"/>
    <col min="119" max="119" width="10" bestFit="1" customWidth="1"/>
    <col min="120" max="120" width="13.1640625" bestFit="1" customWidth="1"/>
    <col min="121" max="121" width="17.6640625" bestFit="1" customWidth="1"/>
    <col min="122" max="122" width="13.1640625" bestFit="1" customWidth="1"/>
    <col min="123" max="123" width="12.83203125" bestFit="1" customWidth="1"/>
    <col min="124" max="124" width="10.6640625" bestFit="1" customWidth="1"/>
    <col min="125" max="125" width="13.5" bestFit="1" customWidth="1"/>
    <col min="126" max="126" width="12" bestFit="1" customWidth="1"/>
    <col min="127" max="127" width="12.1640625" bestFit="1" customWidth="1"/>
    <col min="128" max="128" width="16.6640625" bestFit="1" customWidth="1"/>
    <col min="129" max="129" width="20" bestFit="1" customWidth="1"/>
    <col min="130" max="130" width="11.1640625" bestFit="1" customWidth="1"/>
    <col min="131" max="131" width="38" bestFit="1" customWidth="1"/>
    <col min="132" max="132" width="41.1640625" bestFit="1" customWidth="1"/>
    <col min="133" max="133" width="28.1640625" bestFit="1" customWidth="1"/>
    <col min="134" max="134" width="31.5" bestFit="1" customWidth="1"/>
    <col min="135" max="135" width="24.1640625" bestFit="1" customWidth="1"/>
    <col min="136" max="136" width="27.33203125" bestFit="1" customWidth="1"/>
    <col min="137" max="137" width="11" bestFit="1" customWidth="1"/>
    <col min="138" max="138" width="14.1640625" bestFit="1" customWidth="1"/>
    <col min="139" max="139" width="22" bestFit="1" customWidth="1"/>
    <col min="140" max="140" width="25.1640625" bestFit="1" customWidth="1"/>
    <col min="141" max="141" width="15.1640625" bestFit="1" customWidth="1"/>
    <col min="142" max="142" width="18.5" bestFit="1" customWidth="1"/>
    <col min="143" max="143" width="18.33203125" bestFit="1" customWidth="1"/>
    <col min="144" max="144" width="21.6640625" bestFit="1" customWidth="1"/>
    <col min="145" max="145" width="18.6640625" bestFit="1" customWidth="1"/>
    <col min="146" max="146" width="22" bestFit="1" customWidth="1"/>
    <col min="147" max="147" width="18.1640625" bestFit="1" customWidth="1"/>
    <col min="148" max="148" width="21.5" bestFit="1" customWidth="1"/>
    <col min="149" max="149" width="21.1640625" bestFit="1" customWidth="1"/>
    <col min="150" max="150" width="24.33203125" bestFit="1" customWidth="1"/>
    <col min="151" max="151" width="41.1640625" bestFit="1" customWidth="1"/>
    <col min="152" max="152" width="44.5" bestFit="1" customWidth="1"/>
    <col min="153" max="153" width="13.83203125" bestFit="1" customWidth="1"/>
    <col min="154" max="154" width="17.1640625" bestFit="1" customWidth="1"/>
    <col min="155" max="155" width="34.6640625" bestFit="1" customWidth="1"/>
    <col min="156" max="156" width="37.83203125" bestFit="1" customWidth="1"/>
    <col min="157" max="157" width="30.1640625" bestFit="1" customWidth="1"/>
    <col min="158" max="158" width="33.33203125" bestFit="1" customWidth="1"/>
    <col min="159" max="159" width="36.83203125" bestFit="1" customWidth="1"/>
    <col min="160" max="160" width="40.1640625" bestFit="1" customWidth="1"/>
    <col min="161" max="161" width="34.1640625" bestFit="1" customWidth="1"/>
    <col min="162" max="162" width="25.6640625" bestFit="1" customWidth="1"/>
    <col min="163" max="163" width="34.1640625" bestFit="1" customWidth="1"/>
    <col min="164" max="164" width="27.6640625" bestFit="1" customWidth="1"/>
    <col min="165" max="165" width="34.1640625" bestFit="1" customWidth="1"/>
    <col min="166" max="166" width="30.6640625" bestFit="1" customWidth="1"/>
    <col min="167" max="167" width="8.6640625" bestFit="1" customWidth="1"/>
    <col min="168" max="168" width="11.83203125" bestFit="1" customWidth="1"/>
    <col min="169" max="169" width="10" bestFit="1" customWidth="1"/>
    <col min="170" max="170" width="13.1640625" bestFit="1" customWidth="1"/>
    <col min="171" max="171" width="50.5" bestFit="1" customWidth="1"/>
    <col min="172" max="172" width="53.6640625" bestFit="1" customWidth="1"/>
    <col min="173" max="173" width="44.83203125" bestFit="1" customWidth="1"/>
    <col min="174" max="174" width="32.33203125" bestFit="1" customWidth="1"/>
    <col min="175" max="175" width="52.5" bestFit="1" customWidth="1"/>
    <col min="176" max="176" width="55.6640625" bestFit="1" customWidth="1"/>
    <col min="177" max="177" width="44.83203125" bestFit="1" customWidth="1"/>
    <col min="178" max="178" width="34.1640625" bestFit="1" customWidth="1"/>
    <col min="179" max="179" width="55.1640625" bestFit="1" customWidth="1"/>
    <col min="180" max="180" width="58.5" bestFit="1" customWidth="1"/>
    <col min="181" max="181" width="44.83203125" bestFit="1" customWidth="1"/>
    <col min="182" max="182" width="37" bestFit="1" customWidth="1"/>
    <col min="183" max="183" width="71.33203125" bestFit="1" customWidth="1"/>
    <col min="184" max="184" width="74.6640625" bestFit="1" customWidth="1"/>
    <col min="185" max="185" width="38.1640625" bestFit="1" customWidth="1"/>
    <col min="186" max="186" width="41.5" bestFit="1" customWidth="1"/>
    <col min="187" max="187" width="22.1640625" bestFit="1" customWidth="1"/>
    <col min="188" max="188" width="25.33203125" bestFit="1" customWidth="1"/>
    <col min="189" max="189" width="50.1640625" bestFit="1" customWidth="1"/>
    <col min="190" max="190" width="53.33203125" bestFit="1" customWidth="1"/>
    <col min="191" max="191" width="31.1640625" bestFit="1" customWidth="1"/>
    <col min="192" max="192" width="34.33203125" bestFit="1" customWidth="1"/>
    <col min="193" max="193" width="35.6640625" bestFit="1" customWidth="1"/>
    <col min="194" max="194" width="39.1640625" bestFit="1" customWidth="1"/>
    <col min="195" max="195" width="38" bestFit="1" customWidth="1"/>
    <col min="196" max="196" width="41.1640625" bestFit="1" customWidth="1"/>
    <col min="197" max="197" width="40.5" bestFit="1" customWidth="1"/>
    <col min="198" max="198" width="44" bestFit="1" customWidth="1"/>
    <col min="199" max="199" width="48.1640625" bestFit="1" customWidth="1"/>
    <col min="200" max="200" width="51.5" bestFit="1" customWidth="1"/>
    <col min="201" max="201" width="44.1640625" bestFit="1" customWidth="1"/>
    <col min="202" max="202" width="47.6640625" bestFit="1" customWidth="1"/>
    <col min="203" max="203" width="61.1640625" bestFit="1" customWidth="1"/>
    <col min="204" max="204" width="64.6640625" bestFit="1" customWidth="1"/>
    <col min="205" max="205" width="51.83203125" bestFit="1" customWidth="1"/>
    <col min="206" max="206" width="55.1640625" bestFit="1" customWidth="1"/>
    <col min="207" max="207" width="49.5" bestFit="1" customWidth="1"/>
    <col min="208" max="208" width="52.6640625" bestFit="1" customWidth="1"/>
    <col min="209" max="209" width="33.5" bestFit="1" customWidth="1"/>
    <col min="210" max="210" width="36.6640625" bestFit="1" customWidth="1"/>
    <col min="211" max="211" width="49.1640625" bestFit="1" customWidth="1"/>
    <col min="212" max="212" width="52.5" bestFit="1" customWidth="1"/>
    <col min="213" max="213" width="33.1640625" bestFit="1" customWidth="1"/>
    <col min="214" max="214" width="36.5" bestFit="1" customWidth="1"/>
    <col min="215" max="215" width="67.6640625" bestFit="1" customWidth="1"/>
    <col min="216" max="216" width="71" bestFit="1" customWidth="1"/>
    <col min="217" max="217" width="44.6640625" bestFit="1" customWidth="1"/>
    <col min="218" max="218" width="48.1640625" bestFit="1" customWidth="1"/>
    <col min="219" max="219" width="57.83203125" bestFit="1" customWidth="1"/>
    <col min="220" max="220" width="61.1640625" bestFit="1" customWidth="1"/>
    <col min="221" max="221" width="54.1640625" bestFit="1" customWidth="1"/>
    <col min="222" max="222" width="57.5" bestFit="1" customWidth="1"/>
    <col min="223" max="223" width="34.6640625" bestFit="1" customWidth="1"/>
    <col min="224" max="224" width="37.83203125" bestFit="1" customWidth="1"/>
    <col min="225" max="225" width="54.5" bestFit="1" customWidth="1"/>
    <col min="226" max="226" width="57.6640625" bestFit="1" customWidth="1"/>
    <col min="227" max="227" width="49.5" bestFit="1" customWidth="1"/>
    <col min="228" max="228" width="52.6640625" bestFit="1" customWidth="1"/>
    <col min="229" max="229" width="40.83203125" bestFit="1" customWidth="1"/>
    <col min="230" max="230" width="44.1640625" bestFit="1" customWidth="1"/>
    <col min="231" max="231" width="63.6640625" bestFit="1" customWidth="1"/>
    <col min="232" max="232" width="66.83203125" bestFit="1" customWidth="1"/>
    <col min="233" max="233" width="36.6640625" bestFit="1" customWidth="1"/>
    <col min="234" max="234" width="39.83203125" bestFit="1" customWidth="1"/>
    <col min="235" max="235" width="52.6640625" bestFit="1" customWidth="1"/>
    <col min="236" max="236" width="56.1640625" bestFit="1" customWidth="1"/>
    <col min="237" max="237" width="47.83203125" bestFit="1" customWidth="1"/>
    <col min="238" max="238" width="51.1640625" bestFit="1" customWidth="1"/>
    <col min="239" max="239" width="31.33203125" bestFit="1" customWidth="1"/>
    <col min="240" max="240" width="34.83203125" bestFit="1" customWidth="1"/>
    <col min="241" max="241" width="40.83203125" bestFit="1" customWidth="1"/>
    <col min="242" max="242" width="44.1640625" bestFit="1" customWidth="1"/>
    <col min="243" max="243" width="82.5" bestFit="1" customWidth="1"/>
    <col min="244" max="244" width="85.6640625" bestFit="1" customWidth="1"/>
    <col min="245" max="245" width="78.6640625" bestFit="1" customWidth="1"/>
    <col min="246" max="246" width="82.1640625" bestFit="1" customWidth="1"/>
    <col min="247" max="247" width="59.33203125" bestFit="1" customWidth="1"/>
    <col min="248" max="248" width="62.6640625" bestFit="1" customWidth="1"/>
    <col min="249" max="249" width="79.1640625" bestFit="1" customWidth="1"/>
    <col min="250" max="250" width="82.5" bestFit="1" customWidth="1"/>
    <col min="251" max="251" width="74.1640625" bestFit="1" customWidth="1"/>
    <col min="252" max="252" width="77.5" bestFit="1" customWidth="1"/>
    <col min="253" max="253" width="65.33203125" bestFit="1" customWidth="1"/>
    <col min="254" max="254" width="68.6640625" bestFit="1" customWidth="1"/>
    <col min="255" max="255" width="88.33203125" bestFit="1" customWidth="1"/>
    <col min="256" max="256" width="91.6640625" bestFit="1" customWidth="1"/>
    <col min="257" max="257" width="61.1640625" bestFit="1" customWidth="1"/>
    <col min="258" max="258" width="64.33203125" bestFit="1" customWidth="1"/>
    <col min="259" max="259" width="77.5" bestFit="1" customWidth="1"/>
    <col min="260" max="260" width="80.6640625" bestFit="1" customWidth="1"/>
    <col min="261" max="261" width="72.6640625" bestFit="1" customWidth="1"/>
    <col min="262" max="262" width="75.83203125" bestFit="1" customWidth="1"/>
    <col min="263" max="263" width="56.1640625" bestFit="1" customWidth="1"/>
    <col min="264" max="264" width="59.33203125" bestFit="1" customWidth="1"/>
    <col min="265" max="265" width="65.33203125" bestFit="1" customWidth="1"/>
    <col min="266" max="266" width="68.6640625" bestFit="1" customWidth="1"/>
    <col min="267" max="267" width="58.6640625" bestFit="1" customWidth="1"/>
    <col min="268" max="268" width="62" bestFit="1" customWidth="1"/>
    <col min="269" max="269" width="55.1640625" bestFit="1" customWidth="1"/>
    <col min="270" max="270" width="58.33203125" bestFit="1" customWidth="1"/>
    <col min="271" max="271" width="35.5" bestFit="1" customWidth="1"/>
    <col min="272" max="272" width="38.6640625" bestFit="1" customWidth="1"/>
    <col min="273" max="273" width="55.33203125" bestFit="1" customWidth="1"/>
    <col min="274" max="274" width="58.6640625" bestFit="1" customWidth="1"/>
    <col min="275" max="275" width="50.33203125" bestFit="1" customWidth="1"/>
    <col min="276" max="276" width="53.6640625" bestFit="1" customWidth="1"/>
    <col min="277" max="277" width="41.6640625" bestFit="1" customWidth="1"/>
    <col min="278" max="278" width="45" bestFit="1" customWidth="1"/>
    <col min="279" max="279" width="64.5" bestFit="1" customWidth="1"/>
    <col min="280" max="280" width="67.6640625" bestFit="1" customWidth="1"/>
    <col min="281" max="281" width="37.5" bestFit="1" customWidth="1"/>
    <col min="282" max="282" width="40.6640625" bestFit="1" customWidth="1"/>
    <col min="283" max="283" width="53.6640625" bestFit="1" customWidth="1"/>
    <col min="284" max="284" width="57" bestFit="1" customWidth="1"/>
    <col min="285" max="285" width="48.6640625" bestFit="1" customWidth="1"/>
    <col min="286" max="286" width="52.1640625" bestFit="1" customWidth="1"/>
    <col min="287" max="287" width="32.5" bestFit="1" customWidth="1"/>
    <col min="288" max="288" width="35.6640625" bestFit="1" customWidth="1"/>
    <col min="289" max="289" width="41.6640625" bestFit="1" customWidth="1"/>
    <col min="290" max="290" width="45" bestFit="1" customWidth="1"/>
    <col min="291" max="291" width="52.5" bestFit="1" customWidth="1"/>
    <col min="292" max="292" width="55.6640625" bestFit="1" customWidth="1"/>
    <col min="293" max="293" width="58" bestFit="1" customWidth="1"/>
    <col min="294" max="294" width="61.1640625" bestFit="1" customWidth="1"/>
    <col min="295" max="295" width="77.1640625" bestFit="1" customWidth="1"/>
    <col min="296" max="296" width="80.33203125" bestFit="1" customWidth="1"/>
    <col min="297" max="297" width="82.6640625" bestFit="1" customWidth="1"/>
    <col min="298" max="298" width="86" bestFit="1" customWidth="1"/>
    <col min="299" max="299" width="53.33203125" bestFit="1" customWidth="1"/>
    <col min="300" max="300" width="56.6640625" bestFit="1" customWidth="1"/>
    <col min="301" max="301" width="58.83203125" bestFit="1" customWidth="1"/>
    <col min="302" max="302" width="62.1640625" bestFit="1" customWidth="1"/>
    <col min="303" max="303" width="51.1640625" bestFit="1" customWidth="1"/>
    <col min="304" max="304" width="54.33203125" bestFit="1" customWidth="1"/>
    <col min="305" max="305" width="12.33203125" bestFit="1" customWidth="1"/>
    <col min="306" max="306" width="15.6640625" bestFit="1" customWidth="1"/>
    <col min="307" max="307" width="92.1640625" bestFit="1" customWidth="1"/>
    <col min="308" max="308" width="95.33203125" bestFit="1" customWidth="1"/>
    <col min="309" max="309" width="50.1640625" bestFit="1" customWidth="1"/>
    <col min="310" max="310" width="53.33203125" bestFit="1" customWidth="1"/>
    <col min="311" max="311" width="21.33203125" bestFit="1" customWidth="1"/>
    <col min="312" max="312" width="24.6640625" bestFit="1" customWidth="1"/>
    <col min="313" max="313" width="12.83203125" bestFit="1" customWidth="1"/>
    <col min="314" max="314" width="16.1640625" bestFit="1" customWidth="1"/>
    <col min="315" max="315" width="28.1640625" bestFit="1" customWidth="1"/>
    <col min="316" max="316" width="31.5" bestFit="1" customWidth="1"/>
    <col min="317" max="317" width="39.33203125" bestFit="1" customWidth="1"/>
    <col min="318" max="318" width="42.6640625" bestFit="1" customWidth="1"/>
    <col min="319" max="319" width="23.33203125" bestFit="1" customWidth="1"/>
    <col min="320" max="320" width="26.6640625" bestFit="1" customWidth="1"/>
    <col min="321" max="321" width="47.83203125" bestFit="1" customWidth="1"/>
    <col min="322" max="322" width="51.1640625" bestFit="1" customWidth="1"/>
    <col min="323" max="323" width="41.1640625" bestFit="1" customWidth="1"/>
    <col min="324" max="324" width="44.33203125" bestFit="1" customWidth="1"/>
    <col min="325" max="325" width="44.1640625" bestFit="1" customWidth="1"/>
    <col min="326" max="326" width="47.6640625" bestFit="1" customWidth="1"/>
    <col min="327" max="327" width="44.5" bestFit="1" customWidth="1"/>
    <col min="328" max="328" width="47.83203125" bestFit="1" customWidth="1"/>
    <col min="329" max="329" width="44.1640625" bestFit="1" customWidth="1"/>
    <col min="330" max="330" width="47.33203125" bestFit="1" customWidth="1"/>
    <col min="331" max="331" width="47" bestFit="1" customWidth="1"/>
    <col min="332" max="332" width="50.1640625" bestFit="1" customWidth="1"/>
    <col min="333" max="333" width="67.1640625" bestFit="1" customWidth="1"/>
    <col min="334" max="334" width="70.33203125" bestFit="1" customWidth="1"/>
    <col min="335" max="335" width="39.83203125" bestFit="1" customWidth="1"/>
    <col min="336" max="336" width="43.1640625" bestFit="1" customWidth="1"/>
    <col min="337" max="337" width="11.1640625" bestFit="1" customWidth="1"/>
  </cols>
  <sheetData>
    <row r="6" spans="2:14">
      <c r="B6" s="1143" t="s">
        <v>1825</v>
      </c>
      <c r="L6" s="1143" t="s">
        <v>1826</v>
      </c>
    </row>
    <row r="8" spans="2:14">
      <c r="B8" s="1142" t="str">
        <f>IFERROR("Net CO2-emissions: "&amp;ROUND(GETPIVOTDATA("Sum of Results incl. comp. (ton CO2-eq",$L$11),0)&amp;" ton CO2-eq","")</f>
        <v/>
      </c>
    </row>
    <row r="9" spans="2:14">
      <c r="B9" s="1142" t="str">
        <f>IFERROR("Gross CO2-emissions: "&amp;ROUND(GETPIVOTDATA("Results
(ton CO2-eq)",$B$13),0)&amp;" ton CO2-eq","")</f>
        <v>Gross CO2-emissions: 0 ton CO2-eq</v>
      </c>
      <c r="L9" s="879" t="s">
        <v>1137</v>
      </c>
      <c r="M9" t="s">
        <v>1633</v>
      </c>
    </row>
    <row r="11" spans="2:14">
      <c r="B11" s="879" t="s">
        <v>1137</v>
      </c>
      <c r="C11" t="s">
        <v>1721</v>
      </c>
      <c r="L11" t="s">
        <v>1722</v>
      </c>
      <c r="M11" t="s">
        <v>1815</v>
      </c>
      <c r="N11" t="s">
        <v>1723</v>
      </c>
    </row>
    <row r="12" spans="2:14">
      <c r="L12" s="881">
        <v>0</v>
      </c>
      <c r="M12" s="881">
        <v>0</v>
      </c>
      <c r="N12" s="881">
        <v>0</v>
      </c>
    </row>
    <row r="13" spans="2:14">
      <c r="B13" s="879" t="s">
        <v>1602</v>
      </c>
      <c r="C13" t="s">
        <v>1607</v>
      </c>
    </row>
    <row r="14" spans="2:14">
      <c r="B14" s="880" t="s">
        <v>1149</v>
      </c>
      <c r="C14" s="881">
        <v>0</v>
      </c>
    </row>
    <row r="15" spans="2:14">
      <c r="B15" s="880" t="s">
        <v>1632</v>
      </c>
      <c r="C15" s="881">
        <v>0</v>
      </c>
    </row>
    <row r="16" spans="2:14">
      <c r="B16" s="880" t="s">
        <v>1911</v>
      </c>
      <c r="C16" s="881">
        <v>0</v>
      </c>
    </row>
    <row r="17" spans="2:6">
      <c r="B17" s="880" t="s">
        <v>1912</v>
      </c>
      <c r="C17" s="881">
        <v>0</v>
      </c>
    </row>
    <row r="18" spans="2:6">
      <c r="B18" s="880" t="s">
        <v>1613</v>
      </c>
      <c r="C18" s="881">
        <v>0</v>
      </c>
    </row>
    <row r="19" spans="2:6">
      <c r="B19" s="880" t="s">
        <v>1614</v>
      </c>
      <c r="C19" s="881">
        <v>0</v>
      </c>
    </row>
    <row r="20" spans="2:6">
      <c r="B20" s="880" t="s">
        <v>1169</v>
      </c>
      <c r="C20" s="881">
        <v>0</v>
      </c>
    </row>
    <row r="21" spans="2:6">
      <c r="B21" s="880" t="s">
        <v>1170</v>
      </c>
      <c r="C21" s="881">
        <v>0</v>
      </c>
    </row>
    <row r="22" spans="2:6">
      <c r="B22" s="880" t="s">
        <v>1171</v>
      </c>
      <c r="C22" s="881">
        <v>0</v>
      </c>
    </row>
    <row r="23" spans="2:6">
      <c r="B23" s="880" t="s">
        <v>1173</v>
      </c>
      <c r="C23" s="881">
        <v>0</v>
      </c>
    </row>
    <row r="24" spans="2:6">
      <c r="B24" s="880" t="s">
        <v>1179</v>
      </c>
      <c r="C24" s="881">
        <v>0</v>
      </c>
    </row>
    <row r="25" spans="2:6">
      <c r="B25" s="880" t="s">
        <v>1603</v>
      </c>
      <c r="C25" s="881">
        <v>0</v>
      </c>
    </row>
    <row r="26" spans="2:6">
      <c r="F26" s="704"/>
    </row>
    <row r="27" spans="2:6">
      <c r="B27" s="1144" t="s">
        <v>1829</v>
      </c>
    </row>
    <row r="28" spans="2:6">
      <c r="B28" s="879" t="s">
        <v>991</v>
      </c>
      <c r="C28" t="s">
        <v>1632</v>
      </c>
    </row>
    <row r="30" spans="2:6">
      <c r="B30" s="879" t="s">
        <v>1823</v>
      </c>
      <c r="C30" s="879" t="s">
        <v>1608</v>
      </c>
    </row>
    <row r="31" spans="2:6">
      <c r="B31" s="879" t="s">
        <v>1602</v>
      </c>
      <c r="C31" t="s">
        <v>1652</v>
      </c>
      <c r="D31" t="s">
        <v>1712</v>
      </c>
      <c r="E31" t="s">
        <v>1651</v>
      </c>
      <c r="F31" t="s">
        <v>1603</v>
      </c>
    </row>
    <row r="32" spans="2:6">
      <c r="B32" s="880" t="s">
        <v>1636</v>
      </c>
      <c r="C32">
        <v>0</v>
      </c>
      <c r="E32">
        <v>0</v>
      </c>
      <c r="F32">
        <v>0</v>
      </c>
    </row>
    <row r="33" spans="2:6">
      <c r="B33" s="880" t="s">
        <v>1646</v>
      </c>
      <c r="C33">
        <v>0</v>
      </c>
      <c r="E33">
        <v>0</v>
      </c>
      <c r="F33">
        <v>0</v>
      </c>
    </row>
    <row r="34" spans="2:6">
      <c r="B34" s="880" t="s">
        <v>1640</v>
      </c>
      <c r="D34">
        <v>0</v>
      </c>
      <c r="E34">
        <v>0</v>
      </c>
      <c r="F34">
        <v>0</v>
      </c>
    </row>
    <row r="35" spans="2:6">
      <c r="B35" s="880" t="s">
        <v>1638</v>
      </c>
      <c r="D35">
        <v>0</v>
      </c>
      <c r="E35">
        <v>0</v>
      </c>
      <c r="F35">
        <v>0</v>
      </c>
    </row>
    <row r="36" spans="2:6">
      <c r="B36" s="880" t="s">
        <v>1650</v>
      </c>
      <c r="D36">
        <v>0</v>
      </c>
      <c r="E36">
        <v>0</v>
      </c>
      <c r="F36">
        <v>0</v>
      </c>
    </row>
    <row r="37" spans="2:6">
      <c r="B37" s="880" t="s">
        <v>1223</v>
      </c>
      <c r="C37">
        <v>0</v>
      </c>
      <c r="E37">
        <v>0</v>
      </c>
      <c r="F37">
        <v>0</v>
      </c>
    </row>
    <row r="38" spans="2:6">
      <c r="B38" s="880" t="s">
        <v>1639</v>
      </c>
      <c r="C38">
        <v>0</v>
      </c>
      <c r="E38">
        <v>0</v>
      </c>
      <c r="F38">
        <v>0</v>
      </c>
    </row>
    <row r="39" spans="2:6">
      <c r="B39" s="880" t="s">
        <v>1637</v>
      </c>
      <c r="C39">
        <v>0</v>
      </c>
      <c r="E39">
        <v>0</v>
      </c>
      <c r="F39">
        <v>0</v>
      </c>
    </row>
    <row r="40" spans="2:6">
      <c r="B40" s="880" t="s">
        <v>1238</v>
      </c>
      <c r="D40">
        <v>0</v>
      </c>
      <c r="E40">
        <v>0</v>
      </c>
      <c r="F40">
        <v>0</v>
      </c>
    </row>
    <row r="41" spans="2:6">
      <c r="B41" s="880" t="s">
        <v>1603</v>
      </c>
      <c r="C41">
        <v>0</v>
      </c>
      <c r="D41">
        <v>0</v>
      </c>
      <c r="E41">
        <v>0</v>
      </c>
      <c r="F41">
        <v>0</v>
      </c>
    </row>
    <row r="44" spans="2:6">
      <c r="B44" s="1144" t="s">
        <v>1830</v>
      </c>
    </row>
    <row r="45" spans="2:6">
      <c r="B45" s="879" t="s">
        <v>991</v>
      </c>
      <c r="C45" t="s">
        <v>1912</v>
      </c>
    </row>
    <row r="47" spans="2:6">
      <c r="B47" s="879" t="s">
        <v>1823</v>
      </c>
      <c r="C47" s="879" t="s">
        <v>1608</v>
      </c>
    </row>
    <row r="48" spans="2:6">
      <c r="B48" s="879" t="s">
        <v>1602</v>
      </c>
      <c r="C48" t="s">
        <v>1641</v>
      </c>
      <c r="D48" t="s">
        <v>1649</v>
      </c>
      <c r="E48" t="s">
        <v>1603</v>
      </c>
    </row>
    <row r="49" spans="2:5">
      <c r="B49" s="880" t="s">
        <v>1646</v>
      </c>
      <c r="D49">
        <v>0</v>
      </c>
      <c r="E49">
        <v>0</v>
      </c>
    </row>
    <row r="50" spans="2:5">
      <c r="B50" s="880" t="s">
        <v>1644</v>
      </c>
      <c r="D50">
        <v>0</v>
      </c>
      <c r="E50">
        <v>0</v>
      </c>
    </row>
    <row r="51" spans="2:5">
      <c r="B51" s="880" t="s">
        <v>1642</v>
      </c>
      <c r="D51">
        <v>0</v>
      </c>
      <c r="E51">
        <v>0</v>
      </c>
    </row>
    <row r="52" spans="2:5">
      <c r="B52" s="880" t="s">
        <v>1647</v>
      </c>
      <c r="D52">
        <v>0</v>
      </c>
      <c r="E52">
        <v>0</v>
      </c>
    </row>
    <row r="53" spans="2:5">
      <c r="B53" s="880" t="s">
        <v>1506</v>
      </c>
      <c r="D53">
        <v>0</v>
      </c>
      <c r="E53">
        <v>0</v>
      </c>
    </row>
    <row r="54" spans="2:5">
      <c r="B54" s="880" t="s">
        <v>1643</v>
      </c>
      <c r="D54">
        <v>0</v>
      </c>
      <c r="E54">
        <v>0</v>
      </c>
    </row>
    <row r="55" spans="2:5">
      <c r="B55" s="880" t="s">
        <v>1648</v>
      </c>
      <c r="D55">
        <v>0</v>
      </c>
      <c r="E55">
        <v>0</v>
      </c>
    </row>
    <row r="56" spans="2:5">
      <c r="B56" s="880" t="s">
        <v>1463</v>
      </c>
      <c r="D56">
        <v>0</v>
      </c>
      <c r="E56">
        <v>0</v>
      </c>
    </row>
    <row r="57" spans="2:5">
      <c r="B57" s="880" t="s">
        <v>1645</v>
      </c>
      <c r="C57">
        <v>0</v>
      </c>
      <c r="E57">
        <v>0</v>
      </c>
    </row>
    <row r="58" spans="2:5">
      <c r="B58" s="880" t="s">
        <v>1238</v>
      </c>
      <c r="D58">
        <v>0</v>
      </c>
      <c r="E58">
        <v>0</v>
      </c>
    </row>
    <row r="59" spans="2:5">
      <c r="B59" s="880" t="s">
        <v>1603</v>
      </c>
      <c r="C59">
        <v>0</v>
      </c>
      <c r="D59">
        <v>0</v>
      </c>
      <c r="E59">
        <v>0</v>
      </c>
    </row>
    <row r="71" spans="2:3">
      <c r="B71" s="1143" t="s">
        <v>1827</v>
      </c>
    </row>
    <row r="73" spans="2:3">
      <c r="B73" s="1141" t="str">
        <f>IFERROR("Total mass 'Procured materials': "&amp;ROUND(GETPIVOTDATA("Value_AD_kg",$B$77),0)&amp;" kg; "&amp;ROUND(SUM(C78:C79)/(GETPIVOTDATA("Value_AD_kg",$B$77))*100,0)&amp;"% circular","")</f>
        <v/>
      </c>
    </row>
    <row r="74" spans="2:3">
      <c r="B74" s="54"/>
    </row>
    <row r="75" spans="2:3">
      <c r="B75" s="879" t="s">
        <v>991</v>
      </c>
      <c r="C75" t="s">
        <v>1632</v>
      </c>
    </row>
    <row r="77" spans="2:3">
      <c r="B77" s="879" t="s">
        <v>1602</v>
      </c>
      <c r="C77" t="s">
        <v>1823</v>
      </c>
    </row>
    <row r="78" spans="2:3">
      <c r="B78" s="880" t="s">
        <v>1651</v>
      </c>
      <c r="C78">
        <v>0</v>
      </c>
    </row>
    <row r="79" spans="2:3">
      <c r="B79" s="880" t="s">
        <v>1712</v>
      </c>
      <c r="C79">
        <v>0</v>
      </c>
    </row>
    <row r="80" spans="2:3">
      <c r="B80" s="880" t="s">
        <v>1652</v>
      </c>
      <c r="C80">
        <v>0</v>
      </c>
    </row>
    <row r="81" spans="2:3">
      <c r="B81" s="880" t="s">
        <v>1603</v>
      </c>
      <c r="C81">
        <v>0</v>
      </c>
    </row>
    <row r="95" spans="2:3">
      <c r="B95" s="1143" t="s">
        <v>1828</v>
      </c>
    </row>
    <row r="96" spans="2:3">
      <c r="B96" s="1141" t="str">
        <f>IFERROR("Total mass 'End-of-life materials': "&amp;ROUND(GETPIVOTDATA("Value_AD_kg",$B$102),0)&amp;" kg; "&amp;ROUND(GETPIVOTDATA("Value_AD_kg",$B$102,"Indicator-type","Separated for recycling")/GETPIVOTDATA("Value_AD_kg",$B$102)*100,0)&amp;"% circular","")</f>
        <v/>
      </c>
    </row>
    <row r="100" spans="2:3">
      <c r="B100" s="879" t="s">
        <v>991</v>
      </c>
      <c r="C100" t="s">
        <v>1912</v>
      </c>
    </row>
    <row r="102" spans="2:3">
      <c r="B102" s="879" t="s">
        <v>1602</v>
      </c>
      <c r="C102" t="s">
        <v>1823</v>
      </c>
    </row>
    <row r="103" spans="2:3">
      <c r="B103" s="880" t="s">
        <v>1649</v>
      </c>
      <c r="C103" s="6">
        <v>0</v>
      </c>
    </row>
    <row r="104" spans="2:3">
      <c r="B104" s="880" t="s">
        <v>1641</v>
      </c>
      <c r="C104" s="6">
        <v>0</v>
      </c>
    </row>
    <row r="105" spans="2:3">
      <c r="B105" s="880" t="s">
        <v>1603</v>
      </c>
      <c r="C105" s="6">
        <v>0</v>
      </c>
    </row>
    <row r="125" spans="2:2">
      <c r="B125" s="1143" t="s">
        <v>1831</v>
      </c>
    </row>
    <row r="126" spans="2:2">
      <c r="B126" t="str">
        <f>"Category total: "&amp;ROUND(GETPIVOTDATA("Results incl. comp. (kg CO2-eq",$B$130),0)&amp;" kg CO2-eq"</f>
        <v>Category total: 0 kg CO2-eq</v>
      </c>
    </row>
    <row r="130" spans="2:15">
      <c r="B130" s="879" t="s">
        <v>1811</v>
      </c>
      <c r="C130" s="879" t="s">
        <v>1608</v>
      </c>
    </row>
    <row r="131" spans="2:15">
      <c r="C131" t="s">
        <v>1150</v>
      </c>
      <c r="H131" t="s">
        <v>1668</v>
      </c>
      <c r="I131" t="s">
        <v>1667</v>
      </c>
      <c r="J131" t="s">
        <v>366</v>
      </c>
      <c r="K131" t="s">
        <v>1666</v>
      </c>
      <c r="M131" t="s">
        <v>1801</v>
      </c>
      <c r="O131" t="s">
        <v>1603</v>
      </c>
    </row>
    <row r="132" spans="2:15">
      <c r="C132" t="s">
        <v>1659</v>
      </c>
      <c r="E132" t="s">
        <v>1800</v>
      </c>
      <c r="F132" t="s">
        <v>1660</v>
      </c>
      <c r="H132" t="s">
        <v>1661</v>
      </c>
      <c r="I132" t="s">
        <v>1661</v>
      </c>
      <c r="J132" t="s">
        <v>1669</v>
      </c>
      <c r="K132" t="s">
        <v>1659</v>
      </c>
      <c r="L132" t="s">
        <v>1662</v>
      </c>
      <c r="M132" t="s">
        <v>1661</v>
      </c>
    </row>
    <row r="133" spans="2:15">
      <c r="B133" s="879" t="s">
        <v>1602</v>
      </c>
      <c r="C133" t="s">
        <v>1665</v>
      </c>
      <c r="D133" t="s">
        <v>1663</v>
      </c>
      <c r="E133" t="s">
        <v>1663</v>
      </c>
      <c r="F133" t="s">
        <v>1665</v>
      </c>
      <c r="G133" t="s">
        <v>1663</v>
      </c>
      <c r="H133" t="s">
        <v>1664</v>
      </c>
      <c r="I133" t="s">
        <v>1713</v>
      </c>
      <c r="J133" t="s">
        <v>1713</v>
      </c>
      <c r="K133" t="s">
        <v>1713</v>
      </c>
      <c r="L133" t="s">
        <v>1713</v>
      </c>
      <c r="M133" t="s">
        <v>1713</v>
      </c>
      <c r="N133" t="s">
        <v>1664</v>
      </c>
    </row>
    <row r="134" spans="2:15">
      <c r="B134" s="880" t="s">
        <v>1149</v>
      </c>
      <c r="C134" s="881">
        <v>0</v>
      </c>
      <c r="D134" s="881">
        <v>0</v>
      </c>
      <c r="E134" s="881">
        <v>0</v>
      </c>
      <c r="F134" s="881">
        <v>0</v>
      </c>
      <c r="G134" s="881">
        <v>0</v>
      </c>
      <c r="H134" s="881">
        <v>0</v>
      </c>
      <c r="I134" s="881">
        <v>0</v>
      </c>
      <c r="J134" s="881">
        <v>0</v>
      </c>
      <c r="K134" s="881">
        <v>0</v>
      </c>
      <c r="L134" s="881">
        <v>0</v>
      </c>
      <c r="M134" s="881">
        <v>0</v>
      </c>
      <c r="N134" s="881">
        <v>0</v>
      </c>
      <c r="O134" s="881">
        <v>0</v>
      </c>
    </row>
    <row r="135" spans="2:15">
      <c r="B135" s="880" t="s">
        <v>1603</v>
      </c>
      <c r="C135" s="881">
        <v>0</v>
      </c>
      <c r="D135" s="881">
        <v>0</v>
      </c>
      <c r="E135" s="881">
        <v>0</v>
      </c>
      <c r="F135" s="881">
        <v>0</v>
      </c>
      <c r="G135" s="881">
        <v>0</v>
      </c>
      <c r="H135" s="881">
        <v>0</v>
      </c>
      <c r="I135" s="881">
        <v>0</v>
      </c>
      <c r="J135" s="881">
        <v>0</v>
      </c>
      <c r="K135" s="881">
        <v>0</v>
      </c>
      <c r="L135" s="881">
        <v>0</v>
      </c>
      <c r="M135" s="881">
        <v>0</v>
      </c>
      <c r="N135" s="881">
        <v>0</v>
      </c>
      <c r="O135" s="881">
        <v>0</v>
      </c>
    </row>
    <row r="153" spans="2:15">
      <c r="B153" s="1143" t="s">
        <v>1832</v>
      </c>
    </row>
    <row r="154" spans="2:15">
      <c r="B154" t="str">
        <f>"Category total: "&amp;ROUND(GETPIVOTDATA("Entry_AD_0",$B$159),0)&amp;" units"</f>
        <v>Category total: 0 units</v>
      </c>
    </row>
    <row r="157" spans="2:15">
      <c r="B157" s="879" t="s">
        <v>1137</v>
      </c>
      <c r="C157" t="s">
        <v>1633</v>
      </c>
    </row>
    <row r="159" spans="2:15">
      <c r="B159" s="879" t="s">
        <v>1714</v>
      </c>
      <c r="C159" s="879" t="s">
        <v>1608</v>
      </c>
    </row>
    <row r="160" spans="2:15">
      <c r="C160" t="s">
        <v>1150</v>
      </c>
      <c r="H160" t="s">
        <v>1668</v>
      </c>
      <c r="I160" t="s">
        <v>1667</v>
      </c>
      <c r="J160" t="s">
        <v>366</v>
      </c>
      <c r="K160" t="s">
        <v>1666</v>
      </c>
      <c r="M160" t="s">
        <v>1801</v>
      </c>
      <c r="O160" t="s">
        <v>1603</v>
      </c>
    </row>
    <row r="161" spans="2:15">
      <c r="C161" t="s">
        <v>1659</v>
      </c>
      <c r="E161" t="s">
        <v>1800</v>
      </c>
      <c r="F161" t="s">
        <v>1660</v>
      </c>
      <c r="H161" t="s">
        <v>1661</v>
      </c>
      <c r="I161" t="s">
        <v>1661</v>
      </c>
      <c r="J161" t="s">
        <v>1669</v>
      </c>
      <c r="K161" t="s">
        <v>1659</v>
      </c>
      <c r="L161" t="s">
        <v>1662</v>
      </c>
      <c r="M161" t="s">
        <v>1661</v>
      </c>
    </row>
    <row r="162" spans="2:15">
      <c r="B162" s="879" t="s">
        <v>1602</v>
      </c>
      <c r="C162" t="s">
        <v>1665</v>
      </c>
      <c r="D162" t="s">
        <v>1663</v>
      </c>
      <c r="E162" t="s">
        <v>1663</v>
      </c>
      <c r="F162" t="s">
        <v>1665</v>
      </c>
      <c r="G162" t="s">
        <v>1663</v>
      </c>
      <c r="H162" t="s">
        <v>1664</v>
      </c>
      <c r="I162" t="s">
        <v>1713</v>
      </c>
      <c r="J162" t="s">
        <v>1713</v>
      </c>
      <c r="K162" t="s">
        <v>1713</v>
      </c>
      <c r="L162" t="s">
        <v>1713</v>
      </c>
      <c r="M162" t="s">
        <v>1713</v>
      </c>
      <c r="N162" t="s">
        <v>1664</v>
      </c>
    </row>
    <row r="163" spans="2:15">
      <c r="B163" s="880" t="s">
        <v>1149</v>
      </c>
      <c r="C163" s="1113"/>
      <c r="D163" s="1113"/>
      <c r="E163" s="1113"/>
      <c r="F163" s="1113"/>
      <c r="G163" s="1113"/>
      <c r="H163" s="1113"/>
      <c r="I163" s="1113"/>
      <c r="J163" s="1113"/>
      <c r="K163" s="1113"/>
      <c r="L163" s="1113"/>
      <c r="M163" s="1113"/>
      <c r="N163" s="1113"/>
      <c r="O163" s="1113"/>
    </row>
    <row r="164" spans="2:15">
      <c r="B164" s="1114" t="s">
        <v>96</v>
      </c>
      <c r="C164" s="1113"/>
      <c r="D164" s="1113"/>
      <c r="E164" s="1113"/>
      <c r="F164" s="1113"/>
      <c r="G164" s="1113"/>
      <c r="H164" s="1113"/>
      <c r="I164" s="1113"/>
      <c r="J164" s="1113">
        <v>0</v>
      </c>
      <c r="K164" s="1113"/>
      <c r="L164" s="1113">
        <v>0</v>
      </c>
      <c r="M164" s="1113">
        <v>0</v>
      </c>
      <c r="N164" s="1113">
        <v>0</v>
      </c>
      <c r="O164" s="1113">
        <v>0</v>
      </c>
    </row>
    <row r="165" spans="2:15">
      <c r="B165" s="1114" t="s">
        <v>79</v>
      </c>
      <c r="C165" s="1113">
        <v>0</v>
      </c>
      <c r="D165" s="1113">
        <v>0</v>
      </c>
      <c r="E165" s="1113">
        <v>0</v>
      </c>
      <c r="F165" s="1113">
        <v>0</v>
      </c>
      <c r="G165" s="1113">
        <v>0</v>
      </c>
      <c r="H165" s="1113"/>
      <c r="I165" s="1113"/>
      <c r="J165" s="1113"/>
      <c r="K165" s="1113"/>
      <c r="L165" s="1113"/>
      <c r="M165" s="1113"/>
      <c r="N165" s="1113"/>
      <c r="O165" s="1113">
        <v>0</v>
      </c>
    </row>
    <row r="166" spans="2:15">
      <c r="B166" s="1114" t="s">
        <v>91</v>
      </c>
      <c r="C166" s="1113"/>
      <c r="D166" s="1113"/>
      <c r="E166" s="1113"/>
      <c r="F166" s="1113"/>
      <c r="G166" s="1113"/>
      <c r="H166" s="1113">
        <v>0</v>
      </c>
      <c r="I166" s="1113">
        <v>0</v>
      </c>
      <c r="J166" s="1113"/>
      <c r="K166" s="1113"/>
      <c r="L166" s="1113"/>
      <c r="M166" s="1113"/>
      <c r="N166" s="1113"/>
      <c r="O166" s="1113">
        <v>0</v>
      </c>
    </row>
    <row r="167" spans="2:15">
      <c r="B167" s="1114" t="s">
        <v>101</v>
      </c>
      <c r="C167" s="1113"/>
      <c r="D167" s="1113"/>
      <c r="E167" s="1113"/>
      <c r="F167" s="1113"/>
      <c r="G167" s="1113"/>
      <c r="H167" s="1113"/>
      <c r="I167" s="1113"/>
      <c r="J167" s="1113"/>
      <c r="K167" s="1113">
        <v>0</v>
      </c>
      <c r="L167" s="1113"/>
      <c r="M167" s="1113"/>
      <c r="N167" s="1113"/>
      <c r="O167" s="1113">
        <v>0</v>
      </c>
    </row>
    <row r="168" spans="2:15">
      <c r="B168" s="880" t="s">
        <v>1603</v>
      </c>
      <c r="C168" s="1113">
        <v>0</v>
      </c>
      <c r="D168" s="1113">
        <v>0</v>
      </c>
      <c r="E168" s="1113">
        <v>0</v>
      </c>
      <c r="F168" s="1113">
        <v>0</v>
      </c>
      <c r="G168" s="1113">
        <v>0</v>
      </c>
      <c r="H168" s="1113">
        <v>0</v>
      </c>
      <c r="I168" s="1113">
        <v>0</v>
      </c>
      <c r="J168" s="1113">
        <v>0</v>
      </c>
      <c r="K168" s="1113">
        <v>0</v>
      </c>
      <c r="L168" s="1113">
        <v>0</v>
      </c>
      <c r="M168" s="1113">
        <v>0</v>
      </c>
      <c r="N168" s="1113">
        <v>0</v>
      </c>
      <c r="O168" s="1113">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BBCBD-88B8-49CA-A0CF-9EB3AAFB36D3}">
  <dimension ref="E9:I33"/>
  <sheetViews>
    <sheetView topLeftCell="A4" workbookViewId="0">
      <selection activeCell="E12" sqref="E12"/>
    </sheetView>
  </sheetViews>
  <sheetFormatPr baseColWidth="10" defaultColWidth="8.83203125" defaultRowHeight="16"/>
  <sheetData>
    <row r="9" spans="5:9">
      <c r="E9" t="s">
        <v>1149</v>
      </c>
      <c r="I9" t="s">
        <v>1150</v>
      </c>
    </row>
    <row r="10" spans="5:9">
      <c r="E10" t="s">
        <v>1632</v>
      </c>
      <c r="I10" t="s">
        <v>1152</v>
      </c>
    </row>
    <row r="11" spans="5:9">
      <c r="E11" s="1206" t="s">
        <v>1911</v>
      </c>
      <c r="I11" t="s">
        <v>1155</v>
      </c>
    </row>
    <row r="12" spans="5:9">
      <c r="E12" s="1206" t="s">
        <v>1912</v>
      </c>
      <c r="I12" t="s">
        <v>151</v>
      </c>
    </row>
    <row r="13" spans="5:9">
      <c r="E13" t="s">
        <v>1613</v>
      </c>
      <c r="I13" t="s">
        <v>166</v>
      </c>
    </row>
    <row r="14" spans="5:9">
      <c r="E14" t="s">
        <v>1614</v>
      </c>
      <c r="I14" t="s">
        <v>185</v>
      </c>
    </row>
    <row r="15" spans="5:9">
      <c r="E15" t="s">
        <v>1169</v>
      </c>
      <c r="I15" t="s">
        <v>207</v>
      </c>
    </row>
    <row r="16" spans="5:9">
      <c r="E16" t="s">
        <v>1170</v>
      </c>
      <c r="I16" t="s">
        <v>1161</v>
      </c>
    </row>
    <row r="17" spans="5:9">
      <c r="E17" t="s">
        <v>1171</v>
      </c>
      <c r="I17" t="s">
        <v>1164</v>
      </c>
    </row>
    <row r="18" spans="5:9">
      <c r="E18" t="s">
        <v>1173</v>
      </c>
      <c r="I18" t="s">
        <v>1165</v>
      </c>
    </row>
    <row r="19" spans="5:9">
      <c r="E19" t="s">
        <v>1179</v>
      </c>
      <c r="I19" t="s">
        <v>1166</v>
      </c>
    </row>
    <row r="20" spans="5:9">
      <c r="E20" t="s">
        <v>559</v>
      </c>
      <c r="I20" t="s">
        <v>1167</v>
      </c>
    </row>
    <row r="21" spans="5:9">
      <c r="I21" t="s">
        <v>1168</v>
      </c>
    </row>
    <row r="22" spans="5:9">
      <c r="I22" t="s">
        <v>1717</v>
      </c>
    </row>
    <row r="23" spans="5:9">
      <c r="I23" t="s">
        <v>1718</v>
      </c>
    </row>
    <row r="24" spans="5:9">
      <c r="I24" t="s">
        <v>1170</v>
      </c>
    </row>
    <row r="25" spans="5:9">
      <c r="I25" t="s">
        <v>1171</v>
      </c>
    </row>
    <row r="26" spans="5:9">
      <c r="I26" t="s">
        <v>1174</v>
      </c>
    </row>
    <row r="27" spans="5:9">
      <c r="I27" t="s">
        <v>1177</v>
      </c>
    </row>
    <row r="28" spans="5:9">
      <c r="I28" t="s">
        <v>1654</v>
      </c>
    </row>
    <row r="29" spans="5:9">
      <c r="I29" t="s">
        <v>1655</v>
      </c>
    </row>
    <row r="30" spans="5:9">
      <c r="I30" t="s">
        <v>1656</v>
      </c>
    </row>
    <row r="31" spans="5:9">
      <c r="I31" t="s">
        <v>1489</v>
      </c>
    </row>
    <row r="32" spans="5:9">
      <c r="I32" t="s">
        <v>1657</v>
      </c>
    </row>
    <row r="33" spans="9:9">
      <c r="I33" t="s">
        <v>559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3522-45CF-4B6A-BA58-459DB703FCFC}">
  <sheetPr codeName="Sheet15"/>
  <dimension ref="B4:B6"/>
  <sheetViews>
    <sheetView workbookViewId="0"/>
  </sheetViews>
  <sheetFormatPr baseColWidth="10" defaultColWidth="8.83203125" defaultRowHeight="16"/>
  <sheetData>
    <row r="4" spans="2:2">
      <c r="B4" s="704" t="s">
        <v>1527</v>
      </c>
    </row>
    <row r="6" spans="2:2">
      <c r="B6" t="s">
        <v>1601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7A5A-4081-40D2-8CF7-DDDACD48167A}">
  <sheetPr codeName="Sheet2"/>
  <dimension ref="C1:X31"/>
  <sheetViews>
    <sheetView workbookViewId="0"/>
  </sheetViews>
  <sheetFormatPr baseColWidth="10" defaultColWidth="8.83203125" defaultRowHeight="16"/>
  <cols>
    <col min="4" max="4" width="15.6640625" customWidth="1"/>
    <col min="5" max="5" width="22.1640625" customWidth="1"/>
    <col min="6" max="6" width="35.1640625" customWidth="1"/>
    <col min="10" max="10" width="21.83203125" customWidth="1"/>
    <col min="11" max="12" width="17.6640625" customWidth="1"/>
    <col min="13" max="13" width="19.5" customWidth="1"/>
    <col min="14" max="14" width="28.33203125" customWidth="1"/>
  </cols>
  <sheetData>
    <row r="1" spans="3:24">
      <c r="U1" s="54" t="s">
        <v>1528</v>
      </c>
    </row>
    <row r="2" spans="3:24">
      <c r="C2" t="s">
        <v>1529</v>
      </c>
      <c r="D2" t="s">
        <v>1530</v>
      </c>
      <c r="E2" t="s">
        <v>1531</v>
      </c>
      <c r="F2" t="s">
        <v>1532</v>
      </c>
      <c r="H2" t="s">
        <v>43</v>
      </c>
      <c r="J2" t="s">
        <v>1533</v>
      </c>
      <c r="K2" t="s">
        <v>1534</v>
      </c>
      <c r="M2" t="s">
        <v>1535</v>
      </c>
      <c r="N2" t="s">
        <v>1536</v>
      </c>
      <c r="P2" s="54" t="s">
        <v>1537</v>
      </c>
      <c r="R2" s="54" t="s">
        <v>1538</v>
      </c>
      <c r="T2" s="54" t="s">
        <v>1539</v>
      </c>
      <c r="V2" t="s">
        <v>1540</v>
      </c>
      <c r="X2" t="s">
        <v>1541</v>
      </c>
    </row>
    <row r="3" spans="3:24" ht="17">
      <c r="C3" t="s">
        <v>1149</v>
      </c>
      <c r="D3" t="s">
        <v>1542</v>
      </c>
      <c r="E3" t="s">
        <v>1543</v>
      </c>
      <c r="F3" t="s">
        <v>1544</v>
      </c>
      <c r="H3" t="s">
        <v>1545</v>
      </c>
      <c r="J3" t="s">
        <v>1546</v>
      </c>
      <c r="N3" s="2" t="s">
        <v>1547</v>
      </c>
      <c r="P3" t="s">
        <v>1548</v>
      </c>
      <c r="R3" t="s">
        <v>1549</v>
      </c>
      <c r="T3" t="s">
        <v>1550</v>
      </c>
      <c r="V3" t="s">
        <v>1551</v>
      </c>
      <c r="X3" t="s">
        <v>1552</v>
      </c>
    </row>
    <row r="4" spans="3:24" ht="34">
      <c r="C4" t="s">
        <v>1222</v>
      </c>
      <c r="D4" t="s">
        <v>1553</v>
      </c>
      <c r="E4" t="s">
        <v>1554</v>
      </c>
      <c r="F4" t="s">
        <v>1555</v>
      </c>
      <c r="H4" t="s">
        <v>1556</v>
      </c>
      <c r="J4" t="s">
        <v>1557</v>
      </c>
      <c r="N4" s="2" t="s">
        <v>1558</v>
      </c>
      <c r="P4" t="s">
        <v>1559</v>
      </c>
      <c r="R4" t="s">
        <v>1560</v>
      </c>
      <c r="T4" s="704" t="s">
        <v>1561</v>
      </c>
      <c r="V4" t="s">
        <v>1562</v>
      </c>
      <c r="X4" t="s">
        <v>1563</v>
      </c>
    </row>
    <row r="5" spans="3:24" ht="17">
      <c r="C5" t="s">
        <v>1169</v>
      </c>
      <c r="F5" t="s">
        <v>1564</v>
      </c>
      <c r="H5" t="s">
        <v>1565</v>
      </c>
      <c r="J5" t="s">
        <v>1566</v>
      </c>
      <c r="N5" s="2" t="s">
        <v>1567</v>
      </c>
      <c r="P5" t="s">
        <v>1568</v>
      </c>
      <c r="T5" t="s">
        <v>1569</v>
      </c>
      <c r="V5" t="s">
        <v>1570</v>
      </c>
      <c r="X5" t="s">
        <v>1571</v>
      </c>
    </row>
    <row r="6" spans="3:24" ht="17">
      <c r="F6" t="s">
        <v>1572</v>
      </c>
      <c r="J6" t="s">
        <v>1241</v>
      </c>
      <c r="N6" s="2" t="s">
        <v>1573</v>
      </c>
      <c r="V6" t="s">
        <v>1574</v>
      </c>
      <c r="X6" t="s">
        <v>1575</v>
      </c>
    </row>
    <row r="7" spans="3:24" ht="34">
      <c r="F7" t="s">
        <v>1576</v>
      </c>
      <c r="J7" t="s">
        <v>1577</v>
      </c>
      <c r="N7" s="2" t="s">
        <v>1578</v>
      </c>
      <c r="V7" t="s">
        <v>1579</v>
      </c>
      <c r="X7" t="s">
        <v>1580</v>
      </c>
    </row>
    <row r="8" spans="3:24" ht="17">
      <c r="F8" t="s">
        <v>1581</v>
      </c>
      <c r="N8" s="2" t="s">
        <v>1294</v>
      </c>
      <c r="V8" t="s">
        <v>1553</v>
      </c>
    </row>
    <row r="9" spans="3:24" ht="34">
      <c r="N9" s="2" t="s">
        <v>1582</v>
      </c>
    </row>
    <row r="10" spans="3:24" ht="34">
      <c r="N10" s="2" t="s">
        <v>1583</v>
      </c>
    </row>
    <row r="11" spans="3:24" ht="34">
      <c r="C11" t="s">
        <v>1584</v>
      </c>
      <c r="N11" s="2" t="s">
        <v>1585</v>
      </c>
    </row>
    <row r="12" spans="3:24" ht="34">
      <c r="D12" s="1" t="s">
        <v>1586</v>
      </c>
      <c r="N12" s="2" t="s">
        <v>1587</v>
      </c>
    </row>
    <row r="13" spans="3:24" ht="17">
      <c r="D13" t="s">
        <v>1588</v>
      </c>
      <c r="N13" s="2" t="s">
        <v>1300</v>
      </c>
    </row>
    <row r="14" spans="3:24" ht="17">
      <c r="D14" t="s">
        <v>1589</v>
      </c>
      <c r="N14" s="2" t="s">
        <v>1590</v>
      </c>
    </row>
    <row r="15" spans="3:24">
      <c r="D15" t="s">
        <v>1591</v>
      </c>
    </row>
    <row r="16" spans="3:24">
      <c r="D16" t="s">
        <v>1592</v>
      </c>
    </row>
    <row r="21" spans="3:6">
      <c r="C21" t="s">
        <v>1593</v>
      </c>
    </row>
    <row r="22" spans="3:6">
      <c r="D22" s="1" t="s">
        <v>1594</v>
      </c>
    </row>
    <row r="23" spans="3:6">
      <c r="D23" t="s">
        <v>1595</v>
      </c>
    </row>
    <row r="24" spans="3:6">
      <c r="D24" t="s">
        <v>1596</v>
      </c>
    </row>
    <row r="25" spans="3:6">
      <c r="D25" t="s">
        <v>1597</v>
      </c>
    </row>
    <row r="28" spans="3:6">
      <c r="C28" t="s">
        <v>1598</v>
      </c>
    </row>
    <row r="29" spans="3:6">
      <c r="C29" t="s">
        <v>1161</v>
      </c>
      <c r="D29" s="7">
        <f>'Input sheet'!D133+'Input sheet'!D136+'Input sheet'!D139+'Input sheet'!D142+'Input sheet'!D145+'Input sheet'!D149+'Input sheet'!D153+'Input sheet'!D156+'Input sheet'!D159+'Input sheet'!D162</f>
        <v>0</v>
      </c>
      <c r="F29" t="b">
        <f>D29&lt;&gt;1</f>
        <v>1</v>
      </c>
    </row>
    <row r="30" spans="3:6">
      <c r="C30" t="s">
        <v>1164</v>
      </c>
      <c r="D30" s="7">
        <f>'Input sheet'!D174+'Input sheet'!D177+'Input sheet'!D180+'Input sheet'!D183+'Input sheet'!D186+'Input sheet'!D190+'Input sheet'!D194+'Input sheet'!D197+'Input sheet'!D200+'Input sheet'!D203</f>
        <v>0</v>
      </c>
    </row>
    <row r="31" spans="3:6">
      <c r="C31" t="s">
        <v>1599</v>
      </c>
      <c r="D31" s="6">
        <f>'Input sheet'!D215+'Input sheet'!D218+'Input sheet'!D221+'Input sheet'!D224+'Input sheet'!D227+'Input sheet'!D231+'Input sheet'!D235+'Input sheet'!D238+'Input sheet'!D241+'Input sheet'!D244</f>
        <v>0</v>
      </c>
    </row>
  </sheetData>
  <sheetProtection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4BB9-FDFC-49B2-9EFF-297C38158448}">
  <sheetPr codeName="Sheet10">
    <tabColor rgb="FFA3C4C9"/>
    <outlinePr summaryBelow="0" summaryRight="0"/>
  </sheetPr>
  <dimension ref="A1:W1040"/>
  <sheetViews>
    <sheetView zoomScale="80" zoomScaleNormal="80" workbookViewId="0"/>
  </sheetViews>
  <sheetFormatPr baseColWidth="10" defaultColWidth="0" defaultRowHeight="16" zeroHeight="1"/>
  <cols>
    <col min="1" max="1" width="2.6640625" style="154" customWidth="1"/>
    <col min="2" max="2" width="8.6640625" style="408" customWidth="1"/>
    <col min="3" max="3" width="10.5" style="445" customWidth="1"/>
    <col min="4" max="4" width="32.1640625" style="517" customWidth="1"/>
    <col min="5" max="5" width="93.33203125" style="408" customWidth="1"/>
    <col min="6" max="6" width="36.1640625" style="408" customWidth="1"/>
    <col min="7" max="7" width="66.33203125" style="408" customWidth="1"/>
    <col min="8" max="8" width="45" style="408" customWidth="1"/>
    <col min="9" max="9" width="54.1640625" style="408" customWidth="1"/>
    <col min="10" max="10" width="5" style="408" customWidth="1"/>
    <col min="11" max="14" width="8.1640625" style="408" hidden="1" customWidth="1"/>
    <col min="15" max="23" width="8.6640625" style="408" hidden="1" customWidth="1"/>
    <col min="24" max="16384" width="9" style="408" hidden="1"/>
  </cols>
  <sheetData>
    <row r="1" spans="1:23" ht="34">
      <c r="B1" s="422" t="s">
        <v>1930</v>
      </c>
      <c r="C1" s="422"/>
      <c r="D1" s="424"/>
      <c r="E1" s="424"/>
      <c r="F1" s="994" t="s">
        <v>1617</v>
      </c>
      <c r="G1" s="422"/>
      <c r="H1" s="422"/>
      <c r="I1" s="422"/>
      <c r="J1" s="824"/>
      <c r="K1" s="824"/>
      <c r="L1" s="824"/>
      <c r="M1" s="824"/>
      <c r="N1" s="824"/>
      <c r="O1" s="824"/>
      <c r="P1" s="824"/>
      <c r="Q1" s="824"/>
      <c r="R1" s="824"/>
      <c r="S1" s="824"/>
      <c r="T1" s="824"/>
      <c r="U1" s="824"/>
      <c r="V1" s="824"/>
      <c r="W1" s="824"/>
    </row>
    <row r="2" spans="1:23" ht="21">
      <c r="B2" s="425"/>
      <c r="C2" s="426" t="s">
        <v>1929</v>
      </c>
      <c r="D2" s="427"/>
      <c r="E2" s="427"/>
      <c r="F2" s="428"/>
      <c r="G2" s="428"/>
      <c r="H2" s="428"/>
      <c r="I2" s="428"/>
      <c r="J2" s="452"/>
      <c r="K2" s="452"/>
      <c r="L2" s="452"/>
      <c r="M2" s="452"/>
      <c r="N2" s="452"/>
      <c r="O2" s="452"/>
      <c r="P2" s="452"/>
      <c r="Q2" s="452"/>
      <c r="R2" s="452"/>
      <c r="S2" s="452"/>
      <c r="T2" s="452"/>
      <c r="U2" s="452"/>
      <c r="V2" s="452"/>
      <c r="W2" s="452"/>
    </row>
    <row r="3" spans="1:23" ht="55.5" customHeight="1">
      <c r="A3" s="155"/>
      <c r="B3" s="1041" t="s">
        <v>591</v>
      </c>
      <c r="C3" s="1042" t="s">
        <v>1904</v>
      </c>
      <c r="D3" s="1041" t="s">
        <v>592</v>
      </c>
      <c r="E3" s="1041" t="s">
        <v>6</v>
      </c>
      <c r="F3" s="1043" t="s">
        <v>593</v>
      </c>
      <c r="G3" s="1043" t="s">
        <v>594</v>
      </c>
      <c r="H3" s="1043" t="s">
        <v>595</v>
      </c>
      <c r="I3" s="1043" t="s">
        <v>596</v>
      </c>
      <c r="J3" s="453"/>
      <c r="K3" s="453"/>
      <c r="L3" s="453"/>
      <c r="M3" s="453"/>
      <c r="N3" s="453"/>
      <c r="O3" s="453"/>
      <c r="P3" s="453"/>
      <c r="Q3" s="453"/>
      <c r="R3" s="453"/>
      <c r="S3" s="453"/>
      <c r="T3" s="453"/>
      <c r="U3" s="453"/>
      <c r="V3" s="453"/>
      <c r="W3" s="453"/>
    </row>
    <row r="4" spans="1:23" ht="29">
      <c r="B4" s="403">
        <v>17</v>
      </c>
      <c r="C4" s="264" t="s">
        <v>22</v>
      </c>
      <c r="D4" s="265"/>
      <c r="E4" s="265"/>
      <c r="F4" s="263"/>
      <c r="G4" s="263"/>
      <c r="H4" s="263"/>
      <c r="I4" s="263"/>
      <c r="J4" s="454"/>
      <c r="K4" s="454"/>
      <c r="L4" s="454"/>
      <c r="M4" s="454"/>
      <c r="N4" s="454"/>
      <c r="O4" s="454"/>
      <c r="P4" s="825"/>
      <c r="Q4" s="825"/>
      <c r="R4" s="825"/>
      <c r="S4" s="825"/>
      <c r="T4" s="825"/>
      <c r="U4" s="825"/>
      <c r="V4" s="825"/>
      <c r="W4" s="825"/>
    </row>
    <row r="5" spans="1:23" s="457" customFormat="1" ht="29">
      <c r="A5" s="154"/>
      <c r="B5" s="429">
        <v>18</v>
      </c>
      <c r="C5" s="414"/>
      <c r="D5" s="430" t="s">
        <v>23</v>
      </c>
      <c r="E5" s="431" t="s">
        <v>23</v>
      </c>
      <c r="F5" s="432" t="s">
        <v>25</v>
      </c>
      <c r="G5" s="432" t="s">
        <v>25</v>
      </c>
      <c r="H5" s="433"/>
      <c r="I5" s="433"/>
      <c r="J5" s="456"/>
      <c r="K5" s="456"/>
      <c r="L5" s="456"/>
      <c r="M5" s="456"/>
      <c r="N5" s="456"/>
      <c r="O5" s="456"/>
      <c r="P5" s="826"/>
      <c r="Q5" s="826"/>
      <c r="R5" s="826"/>
      <c r="S5" s="826"/>
      <c r="T5" s="826"/>
      <c r="U5" s="826"/>
      <c r="V5" s="826"/>
      <c r="W5" s="826"/>
    </row>
    <row r="6" spans="1:23" s="457" customFormat="1" ht="29">
      <c r="A6" s="154"/>
      <c r="B6" s="429">
        <v>19</v>
      </c>
      <c r="C6" s="414"/>
      <c r="D6" s="430" t="s">
        <v>26</v>
      </c>
      <c r="E6" s="431" t="s">
        <v>26</v>
      </c>
      <c r="F6" s="432" t="s">
        <v>25</v>
      </c>
      <c r="G6" s="432" t="s">
        <v>25</v>
      </c>
      <c r="H6" s="433"/>
      <c r="I6" s="433"/>
      <c r="J6" s="456"/>
      <c r="K6" s="456"/>
      <c r="L6" s="456"/>
      <c r="M6" s="456"/>
      <c r="N6" s="456"/>
      <c r="O6" s="456"/>
      <c r="P6" s="826"/>
      <c r="Q6" s="826"/>
      <c r="R6" s="826"/>
      <c r="S6" s="826"/>
      <c r="T6" s="826"/>
      <c r="U6" s="826"/>
      <c r="V6" s="826"/>
      <c r="W6" s="826"/>
    </row>
    <row r="7" spans="1:23" s="457" customFormat="1" ht="29">
      <c r="A7" s="154"/>
      <c r="B7" s="429">
        <v>20</v>
      </c>
      <c r="C7" s="414"/>
      <c r="D7" s="430" t="s">
        <v>28</v>
      </c>
      <c r="E7" s="431" t="s">
        <v>30</v>
      </c>
      <c r="F7" s="432" t="s">
        <v>25</v>
      </c>
      <c r="G7" s="432" t="s">
        <v>25</v>
      </c>
      <c r="H7" s="433"/>
      <c r="I7" s="433"/>
      <c r="J7" s="456"/>
      <c r="K7" s="456"/>
      <c r="L7" s="456"/>
      <c r="M7" s="456"/>
      <c r="N7" s="456"/>
      <c r="O7" s="456"/>
      <c r="P7" s="826"/>
      <c r="Q7" s="826"/>
      <c r="R7" s="826"/>
      <c r="S7" s="826"/>
      <c r="T7" s="826"/>
      <c r="U7" s="826"/>
      <c r="V7" s="826"/>
      <c r="W7" s="826"/>
    </row>
    <row r="8" spans="1:23" s="457" customFormat="1" ht="29">
      <c r="A8" s="154"/>
      <c r="B8" s="429">
        <v>21</v>
      </c>
      <c r="C8" s="414"/>
      <c r="D8" s="430" t="s">
        <v>31</v>
      </c>
      <c r="E8" s="431" t="s">
        <v>32</v>
      </c>
      <c r="F8" s="432" t="s">
        <v>25</v>
      </c>
      <c r="G8" s="432" t="s">
        <v>25</v>
      </c>
      <c r="H8" s="433"/>
      <c r="I8" s="433"/>
      <c r="J8" s="456"/>
      <c r="K8" s="456"/>
      <c r="L8" s="456"/>
      <c r="M8" s="456"/>
      <c r="N8" s="456"/>
      <c r="O8" s="456"/>
      <c r="P8" s="826"/>
      <c r="Q8" s="826"/>
      <c r="R8" s="826"/>
      <c r="S8" s="826"/>
      <c r="T8" s="826"/>
      <c r="U8" s="826"/>
      <c r="V8" s="826"/>
      <c r="W8" s="826"/>
    </row>
    <row r="9" spans="1:23" s="457" customFormat="1" ht="29">
      <c r="A9" s="154"/>
      <c r="B9" s="429">
        <v>22</v>
      </c>
      <c r="C9" s="414"/>
      <c r="D9" s="430" t="s">
        <v>33</v>
      </c>
      <c r="E9" s="431" t="s">
        <v>36</v>
      </c>
      <c r="F9" s="432" t="s">
        <v>25</v>
      </c>
      <c r="G9" s="432" t="s">
        <v>25</v>
      </c>
      <c r="H9" s="433"/>
      <c r="I9" s="433"/>
      <c r="J9" s="456"/>
      <c r="K9" s="456"/>
      <c r="L9" s="456"/>
      <c r="M9" s="456"/>
      <c r="N9" s="456"/>
      <c r="O9" s="456"/>
      <c r="P9" s="826"/>
      <c r="Q9" s="826"/>
      <c r="R9" s="826"/>
      <c r="S9" s="826"/>
      <c r="T9" s="826"/>
      <c r="U9" s="826"/>
      <c r="V9" s="826"/>
      <c r="W9" s="826"/>
    </row>
    <row r="10" spans="1:23" s="457" customFormat="1" ht="34">
      <c r="A10" s="154"/>
      <c r="B10" s="429">
        <v>23</v>
      </c>
      <c r="C10" s="414"/>
      <c r="D10" s="430" t="s">
        <v>37</v>
      </c>
      <c r="E10" s="431" t="s">
        <v>1866</v>
      </c>
      <c r="F10" s="432" t="s">
        <v>25</v>
      </c>
      <c r="G10" s="432" t="s">
        <v>25</v>
      </c>
      <c r="H10" s="433"/>
      <c r="I10" s="433"/>
      <c r="J10" s="456"/>
      <c r="K10" s="456"/>
      <c r="L10" s="456"/>
      <c r="M10" s="456"/>
      <c r="N10" s="456"/>
      <c r="O10" s="456"/>
      <c r="P10" s="826"/>
      <c r="Q10" s="826"/>
      <c r="R10" s="826"/>
      <c r="S10" s="826"/>
      <c r="T10" s="826"/>
      <c r="U10" s="826"/>
      <c r="V10" s="826"/>
      <c r="W10" s="826"/>
    </row>
    <row r="11" spans="1:23" s="457" customFormat="1" ht="29">
      <c r="A11" s="154"/>
      <c r="B11" s="429">
        <v>24</v>
      </c>
      <c r="C11" s="414"/>
      <c r="D11" s="430" t="s">
        <v>39</v>
      </c>
      <c r="E11" s="431" t="s">
        <v>40</v>
      </c>
      <c r="F11" s="432" t="s">
        <v>25</v>
      </c>
      <c r="G11" s="432" t="s">
        <v>25</v>
      </c>
      <c r="H11" s="433"/>
      <c r="I11" s="433"/>
      <c r="J11" s="456"/>
      <c r="K11" s="456"/>
      <c r="L11" s="456"/>
      <c r="M11" s="456"/>
      <c r="N11" s="456"/>
      <c r="O11" s="456"/>
      <c r="P11" s="826"/>
      <c r="Q11" s="826"/>
      <c r="R11" s="826"/>
      <c r="S11" s="826"/>
      <c r="T11" s="826"/>
      <c r="U11" s="826"/>
      <c r="V11" s="826"/>
      <c r="W11" s="826"/>
    </row>
    <row r="12" spans="1:23" s="457" customFormat="1" ht="34">
      <c r="A12" s="156"/>
      <c r="B12" s="429">
        <v>25</v>
      </c>
      <c r="C12" s="414"/>
      <c r="D12" s="430" t="s">
        <v>41</v>
      </c>
      <c r="E12" s="431" t="s">
        <v>1864</v>
      </c>
      <c r="F12" s="432" t="s">
        <v>25</v>
      </c>
      <c r="G12" s="432" t="s">
        <v>25</v>
      </c>
      <c r="H12" s="433"/>
      <c r="I12" s="433"/>
      <c r="J12" s="456"/>
      <c r="K12" s="456"/>
      <c r="L12" s="456"/>
      <c r="M12" s="456"/>
      <c r="N12" s="456"/>
      <c r="O12" s="456"/>
      <c r="P12" s="826"/>
      <c r="Q12" s="826"/>
      <c r="R12" s="826"/>
      <c r="S12" s="826"/>
      <c r="T12" s="826"/>
      <c r="U12" s="826"/>
      <c r="V12" s="826"/>
      <c r="W12" s="826"/>
    </row>
    <row r="13" spans="1:23" s="457" customFormat="1" ht="48.75" customHeight="1">
      <c r="A13" s="154"/>
      <c r="B13" s="429">
        <v>26</v>
      </c>
      <c r="C13" s="414"/>
      <c r="D13" s="430" t="s">
        <v>42</v>
      </c>
      <c r="E13" s="431" t="s">
        <v>1865</v>
      </c>
      <c r="F13" s="432" t="s">
        <v>25</v>
      </c>
      <c r="G13" s="432" t="s">
        <v>25</v>
      </c>
      <c r="H13" s="433"/>
      <c r="I13" s="433"/>
      <c r="J13" s="456"/>
      <c r="K13" s="456"/>
      <c r="L13" s="456"/>
      <c r="M13" s="456"/>
      <c r="N13" s="456"/>
      <c r="O13" s="456"/>
      <c r="P13" s="826"/>
      <c r="Q13" s="826"/>
      <c r="R13" s="826"/>
      <c r="S13" s="826"/>
      <c r="T13" s="826"/>
      <c r="U13" s="826"/>
      <c r="V13" s="826"/>
      <c r="W13" s="826"/>
    </row>
    <row r="14" spans="1:23" s="457" customFormat="1" ht="34">
      <c r="A14" s="154"/>
      <c r="B14" s="429">
        <v>27</v>
      </c>
      <c r="C14" s="414"/>
      <c r="D14" s="430" t="s">
        <v>43</v>
      </c>
      <c r="E14" s="431" t="s">
        <v>1867</v>
      </c>
      <c r="F14" s="432" t="s">
        <v>25</v>
      </c>
      <c r="G14" s="827" t="s">
        <v>597</v>
      </c>
      <c r="H14" s="433"/>
      <c r="I14" s="433"/>
      <c r="J14" s="456"/>
      <c r="K14" s="456"/>
      <c r="L14" s="456"/>
      <c r="M14" s="456"/>
      <c r="N14" s="456"/>
      <c r="O14" s="456"/>
      <c r="P14" s="826"/>
      <c r="Q14" s="826"/>
      <c r="R14" s="826"/>
      <c r="S14" s="826"/>
      <c r="T14" s="826"/>
      <c r="U14" s="826"/>
      <c r="V14" s="826"/>
      <c r="W14" s="826"/>
    </row>
    <row r="15" spans="1:23" s="457" customFormat="1" ht="51">
      <c r="A15" s="154"/>
      <c r="B15" s="429">
        <v>28</v>
      </c>
      <c r="C15" s="414"/>
      <c r="D15" s="430" t="s">
        <v>44</v>
      </c>
      <c r="E15" s="431" t="s">
        <v>598</v>
      </c>
      <c r="F15" s="827" t="s">
        <v>599</v>
      </c>
      <c r="G15" s="827" t="s">
        <v>600</v>
      </c>
      <c r="H15" s="433"/>
      <c r="I15" s="433"/>
      <c r="J15" s="456"/>
      <c r="K15" s="456"/>
      <c r="L15" s="456"/>
      <c r="M15" s="456"/>
      <c r="N15" s="456"/>
      <c r="O15" s="456"/>
      <c r="P15" s="826"/>
      <c r="Q15" s="826"/>
      <c r="R15" s="826"/>
      <c r="S15" s="826"/>
      <c r="T15" s="826"/>
      <c r="U15" s="826"/>
      <c r="V15" s="826"/>
      <c r="W15" s="826"/>
    </row>
    <row r="16" spans="1:23" ht="29">
      <c r="B16" s="404">
        <f>B15+1</f>
        <v>29</v>
      </c>
      <c r="C16" s="267" t="s">
        <v>47</v>
      </c>
      <c r="D16" s="268"/>
      <c r="E16" s="268"/>
      <c r="F16" s="266"/>
      <c r="G16" s="266"/>
      <c r="H16" s="266"/>
      <c r="I16" s="266"/>
      <c r="J16" s="454"/>
      <c r="K16" s="454"/>
      <c r="L16" s="454"/>
      <c r="M16" s="454"/>
      <c r="N16" s="454"/>
      <c r="O16" s="454"/>
      <c r="P16" s="825"/>
      <c r="Q16" s="825"/>
      <c r="R16" s="825"/>
      <c r="S16" s="825"/>
      <c r="T16" s="825"/>
      <c r="U16" s="825"/>
      <c r="V16" s="825"/>
      <c r="W16" s="825"/>
    </row>
    <row r="17" spans="1:23" s="457" customFormat="1" ht="102">
      <c r="A17" s="157"/>
      <c r="B17" s="429">
        <v>30</v>
      </c>
      <c r="C17" s="414"/>
      <c r="D17" s="434" t="s">
        <v>48</v>
      </c>
      <c r="E17" s="431" t="s">
        <v>1863</v>
      </c>
      <c r="F17" s="570" t="s">
        <v>601</v>
      </c>
      <c r="G17" s="1203" t="s">
        <v>1862</v>
      </c>
      <c r="H17" s="433"/>
      <c r="I17" s="433"/>
      <c r="J17" s="456"/>
      <c r="K17" s="456"/>
      <c r="L17" s="456"/>
      <c r="M17" s="456"/>
      <c r="N17" s="456"/>
      <c r="O17" s="456"/>
      <c r="P17" s="826"/>
      <c r="Q17" s="826"/>
      <c r="R17" s="826"/>
      <c r="S17" s="826"/>
      <c r="T17" s="826"/>
      <c r="U17" s="826"/>
      <c r="V17" s="826"/>
      <c r="W17" s="826"/>
    </row>
    <row r="18" spans="1:23" s="457" customFormat="1" ht="34">
      <c r="A18" s="154"/>
      <c r="B18" s="429">
        <v>31</v>
      </c>
      <c r="C18" s="414"/>
      <c r="D18" s="434" t="s">
        <v>49</v>
      </c>
      <c r="E18" s="569" t="s">
        <v>1843</v>
      </c>
      <c r="F18" s="570" t="s">
        <v>601</v>
      </c>
      <c r="G18" s="433" t="s">
        <v>602</v>
      </c>
      <c r="H18" s="433"/>
      <c r="I18" s="433"/>
      <c r="J18" s="456"/>
      <c r="K18" s="456"/>
      <c r="L18" s="456"/>
      <c r="M18" s="456"/>
      <c r="N18" s="456"/>
      <c r="O18" s="456"/>
      <c r="P18" s="826"/>
      <c r="Q18" s="826"/>
      <c r="R18" s="826"/>
      <c r="S18" s="826"/>
      <c r="T18" s="826"/>
      <c r="U18" s="826"/>
      <c r="V18" s="826"/>
      <c r="W18" s="826"/>
    </row>
    <row r="19" spans="1:23" s="457" customFormat="1" ht="34">
      <c r="A19" s="154"/>
      <c r="B19" s="429">
        <v>32</v>
      </c>
      <c r="C19" s="414"/>
      <c r="D19" s="434" t="s">
        <v>51</v>
      </c>
      <c r="E19" s="569" t="s">
        <v>1844</v>
      </c>
      <c r="F19" s="570" t="s">
        <v>601</v>
      </c>
      <c r="G19" s="433" t="s">
        <v>602</v>
      </c>
      <c r="H19" s="433"/>
      <c r="I19" s="433"/>
      <c r="J19" s="456"/>
      <c r="K19" s="456"/>
      <c r="L19" s="456"/>
      <c r="M19" s="456"/>
      <c r="N19" s="456"/>
      <c r="O19" s="456"/>
      <c r="P19" s="826"/>
      <c r="Q19" s="826"/>
      <c r="R19" s="826"/>
      <c r="S19" s="826"/>
      <c r="T19" s="826"/>
      <c r="U19" s="826"/>
      <c r="V19" s="826"/>
      <c r="W19" s="826"/>
    </row>
    <row r="20" spans="1:23" s="457" customFormat="1" ht="34">
      <c r="A20" s="154"/>
      <c r="B20" s="429">
        <v>33</v>
      </c>
      <c r="C20" s="414"/>
      <c r="D20" s="434" t="s">
        <v>53</v>
      </c>
      <c r="E20" s="569" t="s">
        <v>1845</v>
      </c>
      <c r="F20" s="570" t="s">
        <v>601</v>
      </c>
      <c r="G20" s="433" t="s">
        <v>602</v>
      </c>
      <c r="H20" s="433"/>
      <c r="I20" s="433"/>
      <c r="J20" s="456"/>
      <c r="K20" s="456"/>
      <c r="L20" s="456"/>
      <c r="M20" s="456"/>
      <c r="N20" s="456"/>
      <c r="O20" s="456"/>
      <c r="P20" s="826"/>
      <c r="Q20" s="826"/>
      <c r="R20" s="826"/>
      <c r="S20" s="826"/>
      <c r="T20" s="826"/>
      <c r="U20" s="826"/>
      <c r="V20" s="826"/>
      <c r="W20" s="826"/>
    </row>
    <row r="21" spans="1:23" s="457" customFormat="1" ht="34">
      <c r="A21" s="154"/>
      <c r="B21" s="429">
        <v>34</v>
      </c>
      <c r="C21" s="414"/>
      <c r="D21" s="434" t="s">
        <v>55</v>
      </c>
      <c r="E21" s="569" t="s">
        <v>1846</v>
      </c>
      <c r="F21" s="570" t="s">
        <v>601</v>
      </c>
      <c r="G21" s="433" t="s">
        <v>602</v>
      </c>
      <c r="H21" s="433"/>
      <c r="I21" s="433"/>
      <c r="J21" s="456"/>
      <c r="K21" s="456"/>
      <c r="L21" s="456"/>
      <c r="M21" s="456"/>
      <c r="N21" s="456"/>
      <c r="O21" s="456"/>
      <c r="P21" s="826"/>
      <c r="Q21" s="826"/>
      <c r="R21" s="826"/>
      <c r="S21" s="826"/>
      <c r="T21" s="826"/>
      <c r="U21" s="826"/>
      <c r="V21" s="826"/>
      <c r="W21" s="826"/>
    </row>
    <row r="22" spans="1:23" s="457" customFormat="1" ht="34">
      <c r="A22" s="154"/>
      <c r="B22" s="429">
        <v>35</v>
      </c>
      <c r="C22" s="414"/>
      <c r="D22" s="434" t="s">
        <v>57</v>
      </c>
      <c r="E22" s="569" t="s">
        <v>1847</v>
      </c>
      <c r="F22" s="570" t="s">
        <v>601</v>
      </c>
      <c r="G22" s="433" t="s">
        <v>602</v>
      </c>
      <c r="H22" s="433"/>
      <c r="I22" s="433"/>
      <c r="J22" s="456"/>
      <c r="K22" s="456"/>
      <c r="L22" s="456"/>
      <c r="M22" s="456"/>
      <c r="N22" s="456"/>
      <c r="O22" s="456"/>
      <c r="P22" s="826"/>
      <c r="Q22" s="826"/>
      <c r="R22" s="826"/>
      <c r="S22" s="826"/>
      <c r="T22" s="826"/>
      <c r="U22" s="826"/>
      <c r="V22" s="826"/>
      <c r="W22" s="826"/>
    </row>
    <row r="23" spans="1:23" s="457" customFormat="1" ht="34">
      <c r="A23" s="154"/>
      <c r="B23" s="429">
        <v>36</v>
      </c>
      <c r="C23" s="414"/>
      <c r="D23" s="434" t="s">
        <v>59</v>
      </c>
      <c r="E23" s="569" t="s">
        <v>1848</v>
      </c>
      <c r="F23" s="570" t="s">
        <v>601</v>
      </c>
      <c r="G23" s="433" t="s">
        <v>602</v>
      </c>
      <c r="H23" s="433"/>
      <c r="I23" s="433"/>
      <c r="J23" s="456"/>
      <c r="K23" s="456"/>
      <c r="L23" s="456"/>
      <c r="M23" s="456"/>
      <c r="N23" s="456"/>
      <c r="O23" s="456"/>
      <c r="P23" s="826"/>
      <c r="Q23" s="826"/>
      <c r="R23" s="826"/>
      <c r="S23" s="826"/>
      <c r="T23" s="826"/>
      <c r="U23" s="826"/>
      <c r="V23" s="826"/>
      <c r="W23" s="826"/>
    </row>
    <row r="24" spans="1:23" s="457" customFormat="1" ht="34">
      <c r="A24" s="154"/>
      <c r="B24" s="429">
        <v>37</v>
      </c>
      <c r="C24" s="414"/>
      <c r="D24" s="434" t="s">
        <v>61</v>
      </c>
      <c r="E24" s="569" t="s">
        <v>1849</v>
      </c>
      <c r="F24" s="570" t="s">
        <v>601</v>
      </c>
      <c r="G24" s="433" t="s">
        <v>602</v>
      </c>
      <c r="H24" s="433"/>
      <c r="I24" s="433"/>
      <c r="J24" s="456"/>
      <c r="K24" s="456"/>
      <c r="L24" s="456"/>
      <c r="M24" s="456"/>
      <c r="N24" s="456"/>
      <c r="O24" s="456"/>
      <c r="P24" s="826"/>
      <c r="Q24" s="826"/>
      <c r="R24" s="826"/>
      <c r="S24" s="826"/>
      <c r="T24" s="826"/>
      <c r="U24" s="826"/>
      <c r="V24" s="826"/>
      <c r="W24" s="826"/>
    </row>
    <row r="25" spans="1:23" s="457" customFormat="1" ht="34">
      <c r="A25" s="154"/>
      <c r="B25" s="429">
        <v>38</v>
      </c>
      <c r="C25" s="414"/>
      <c r="D25" s="434" t="s">
        <v>63</v>
      </c>
      <c r="E25" s="569" t="s">
        <v>1850</v>
      </c>
      <c r="F25" s="570" t="s">
        <v>601</v>
      </c>
      <c r="G25" s="433" t="s">
        <v>602</v>
      </c>
      <c r="H25" s="433"/>
      <c r="I25" s="433"/>
      <c r="J25" s="456"/>
      <c r="K25" s="456"/>
      <c r="L25" s="456"/>
      <c r="M25" s="456"/>
      <c r="N25" s="456"/>
      <c r="O25" s="456"/>
      <c r="P25" s="826"/>
      <c r="Q25" s="826"/>
      <c r="R25" s="826"/>
      <c r="S25" s="826"/>
      <c r="T25" s="826"/>
      <c r="U25" s="826"/>
      <c r="V25" s="826"/>
      <c r="W25" s="826"/>
    </row>
    <row r="26" spans="1:23" s="457" customFormat="1" ht="34">
      <c r="A26" s="154"/>
      <c r="B26" s="429">
        <v>39</v>
      </c>
      <c r="C26" s="414"/>
      <c r="D26" s="434" t="s">
        <v>65</v>
      </c>
      <c r="E26" s="569" t="s">
        <v>1851</v>
      </c>
      <c r="F26" s="570" t="s">
        <v>601</v>
      </c>
      <c r="G26" s="433" t="s">
        <v>602</v>
      </c>
      <c r="H26" s="828"/>
      <c r="I26" s="828"/>
      <c r="J26" s="826"/>
      <c r="K26" s="826"/>
      <c r="L26" s="826"/>
      <c r="M26" s="826"/>
      <c r="N26" s="826"/>
      <c r="O26" s="826"/>
      <c r="P26" s="826"/>
      <c r="Q26" s="826"/>
      <c r="R26" s="826"/>
      <c r="S26" s="826"/>
      <c r="T26" s="826"/>
      <c r="U26" s="826"/>
      <c r="V26" s="826"/>
      <c r="W26" s="826"/>
    </row>
    <row r="27" spans="1:23" s="457" customFormat="1" ht="34">
      <c r="A27" s="154"/>
      <c r="B27" s="429">
        <v>40</v>
      </c>
      <c r="C27" s="414"/>
      <c r="D27" s="434" t="s">
        <v>67</v>
      </c>
      <c r="E27" s="431" t="s">
        <v>603</v>
      </c>
      <c r="F27" s="432" t="s">
        <v>601</v>
      </c>
      <c r="G27" s="433" t="s">
        <v>602</v>
      </c>
      <c r="H27" s="828"/>
      <c r="I27" s="828"/>
      <c r="J27" s="826"/>
      <c r="K27" s="826"/>
      <c r="L27" s="826"/>
      <c r="M27" s="826"/>
      <c r="N27" s="826"/>
      <c r="O27" s="826"/>
      <c r="P27" s="826"/>
      <c r="Q27" s="826"/>
      <c r="R27" s="826"/>
      <c r="S27" s="826"/>
      <c r="T27" s="826"/>
      <c r="U27" s="826"/>
      <c r="V27" s="826"/>
      <c r="W27" s="826"/>
    </row>
    <row r="28" spans="1:23" ht="29">
      <c r="B28" s="404">
        <f>B27+1</f>
        <v>41</v>
      </c>
      <c r="C28" s="267" t="s">
        <v>69</v>
      </c>
      <c r="D28" s="268"/>
      <c r="E28" s="268"/>
      <c r="F28" s="266"/>
      <c r="G28" s="266"/>
      <c r="H28" s="266"/>
      <c r="I28" s="266"/>
      <c r="J28" s="454"/>
      <c r="K28" s="454"/>
      <c r="L28" s="454"/>
      <c r="M28" s="454"/>
      <c r="N28" s="454"/>
      <c r="O28" s="454"/>
      <c r="P28" s="825"/>
      <c r="Q28" s="825"/>
      <c r="R28" s="825"/>
      <c r="S28" s="825"/>
      <c r="T28" s="825"/>
      <c r="U28" s="825"/>
      <c r="V28" s="825"/>
      <c r="W28" s="825"/>
    </row>
    <row r="29" spans="1:23" s="457" customFormat="1" ht="51">
      <c r="A29" s="158"/>
      <c r="B29" s="429">
        <v>42</v>
      </c>
      <c r="C29" s="414"/>
      <c r="D29" s="434" t="s">
        <v>70</v>
      </c>
      <c r="E29" s="431" t="s">
        <v>71</v>
      </c>
      <c r="F29" s="827" t="s">
        <v>604</v>
      </c>
      <c r="G29" s="827" t="s">
        <v>605</v>
      </c>
      <c r="H29" s="827" t="s">
        <v>606</v>
      </c>
      <c r="I29" s="433"/>
      <c r="J29" s="456"/>
      <c r="K29" s="456"/>
      <c r="L29" s="456"/>
      <c r="M29" s="456"/>
      <c r="N29" s="456"/>
      <c r="O29" s="456"/>
      <c r="P29" s="826"/>
      <c r="Q29" s="826"/>
      <c r="R29" s="826"/>
      <c r="S29" s="826"/>
      <c r="T29" s="826"/>
      <c r="U29" s="826"/>
      <c r="V29" s="826"/>
      <c r="W29" s="826"/>
    </row>
    <row r="30" spans="1:23" s="457" customFormat="1" ht="51">
      <c r="A30" s="154"/>
      <c r="B30" s="429">
        <v>43</v>
      </c>
      <c r="C30" s="414"/>
      <c r="D30" s="434" t="s">
        <v>72</v>
      </c>
      <c r="E30" s="431" t="s">
        <v>73</v>
      </c>
      <c r="F30" s="827" t="s">
        <v>607</v>
      </c>
      <c r="G30" s="827" t="s">
        <v>608</v>
      </c>
      <c r="H30" s="827" t="s">
        <v>609</v>
      </c>
      <c r="I30" s="433"/>
      <c r="J30" s="456"/>
      <c r="K30" s="456"/>
      <c r="L30" s="456"/>
      <c r="M30" s="456"/>
      <c r="N30" s="456"/>
      <c r="O30" s="456"/>
      <c r="P30" s="826"/>
      <c r="Q30" s="826"/>
      <c r="R30" s="826"/>
      <c r="S30" s="826"/>
      <c r="T30" s="826"/>
      <c r="U30" s="826"/>
      <c r="V30" s="826"/>
      <c r="W30" s="826"/>
    </row>
    <row r="31" spans="1:23" s="457" customFormat="1" ht="68">
      <c r="A31" s="154"/>
      <c r="B31" s="429">
        <v>44</v>
      </c>
      <c r="C31" s="414"/>
      <c r="D31" s="434" t="s">
        <v>74</v>
      </c>
      <c r="E31" s="431" t="s">
        <v>75</v>
      </c>
      <c r="F31" s="827" t="s">
        <v>610</v>
      </c>
      <c r="G31" s="827" t="s">
        <v>611</v>
      </c>
      <c r="H31" s="827" t="s">
        <v>612</v>
      </c>
      <c r="I31" s="828"/>
      <c r="J31" s="826"/>
      <c r="K31" s="826"/>
      <c r="L31" s="826"/>
      <c r="M31" s="826"/>
      <c r="N31" s="826"/>
      <c r="O31" s="826"/>
      <c r="P31" s="826"/>
      <c r="Q31" s="826"/>
      <c r="R31" s="826"/>
      <c r="S31" s="826"/>
      <c r="T31" s="826"/>
      <c r="U31" s="826"/>
      <c r="V31" s="826"/>
      <c r="W31" s="826"/>
    </row>
    <row r="32" spans="1:23" ht="29">
      <c r="B32" s="147"/>
      <c r="C32" s="458"/>
      <c r="D32" s="152"/>
      <c r="E32" s="459"/>
      <c r="F32" s="451"/>
      <c r="G32" s="460"/>
      <c r="H32" s="460"/>
      <c r="I32" s="460"/>
      <c r="J32" s="460"/>
      <c r="K32" s="460"/>
      <c r="L32" s="460"/>
      <c r="M32" s="460"/>
      <c r="N32" s="460"/>
      <c r="O32" s="460"/>
      <c r="P32" s="460"/>
      <c r="Q32" s="460"/>
      <c r="R32" s="460"/>
      <c r="S32" s="460"/>
      <c r="T32" s="460"/>
      <c r="U32" s="460"/>
      <c r="V32" s="460"/>
      <c r="W32" s="460"/>
    </row>
    <row r="33" spans="1:23" ht="29">
      <c r="B33" s="554">
        <v>46</v>
      </c>
      <c r="C33" s="446" t="s">
        <v>76</v>
      </c>
      <c r="D33" s="438"/>
      <c r="E33" s="438"/>
      <c r="F33" s="439"/>
      <c r="G33" s="439"/>
      <c r="H33" s="439"/>
      <c r="I33" s="439"/>
      <c r="J33" s="460"/>
      <c r="K33" s="460"/>
      <c r="L33" s="460"/>
      <c r="M33" s="460"/>
      <c r="N33" s="460"/>
      <c r="O33" s="460"/>
      <c r="P33" s="460"/>
      <c r="Q33" s="460"/>
      <c r="R33" s="460"/>
      <c r="S33" s="460"/>
      <c r="T33" s="460"/>
      <c r="U33" s="460"/>
      <c r="V33" s="460"/>
      <c r="W33" s="460"/>
    </row>
    <row r="34" spans="1:23" ht="29">
      <c r="B34" s="555">
        <v>47</v>
      </c>
      <c r="C34" s="447" t="s">
        <v>77</v>
      </c>
      <c r="D34" s="392"/>
      <c r="E34" s="392"/>
      <c r="F34" s="393"/>
      <c r="G34" s="393"/>
      <c r="H34" s="393"/>
      <c r="I34" s="393"/>
      <c r="J34" s="460"/>
      <c r="K34" s="460"/>
      <c r="L34" s="460"/>
      <c r="M34" s="460"/>
      <c r="N34" s="460"/>
      <c r="O34" s="460"/>
      <c r="P34" s="460"/>
      <c r="Q34" s="460"/>
      <c r="R34" s="460"/>
      <c r="S34" s="460"/>
      <c r="T34" s="460"/>
      <c r="U34" s="460"/>
      <c r="V34" s="460"/>
      <c r="W34" s="460"/>
    </row>
    <row r="35" spans="1:23" s="457" customFormat="1" ht="204">
      <c r="A35" s="154"/>
      <c r="B35" s="554">
        <v>48</v>
      </c>
      <c r="C35" s="446"/>
      <c r="D35" s="440" t="s">
        <v>78</v>
      </c>
      <c r="E35" s="464" t="s">
        <v>613</v>
      </c>
      <c r="F35" s="829" t="s">
        <v>614</v>
      </c>
      <c r="G35" s="441" t="s">
        <v>615</v>
      </c>
      <c r="H35" s="830" t="s">
        <v>616</v>
      </c>
      <c r="I35" s="829" t="s">
        <v>617</v>
      </c>
      <c r="J35" s="461"/>
      <c r="K35" s="461"/>
      <c r="L35" s="461"/>
      <c r="M35" s="461"/>
      <c r="N35" s="461"/>
      <c r="O35" s="461"/>
      <c r="P35" s="461"/>
      <c r="Q35" s="461"/>
      <c r="R35" s="461"/>
      <c r="S35" s="461"/>
      <c r="T35" s="461"/>
      <c r="U35" s="461"/>
      <c r="V35" s="461"/>
      <c r="W35" s="461"/>
    </row>
    <row r="36" spans="1:23" s="457" customFormat="1" ht="90" customHeight="1">
      <c r="A36" s="154"/>
      <c r="B36" s="554">
        <v>49</v>
      </c>
      <c r="C36" s="446"/>
      <c r="D36" s="440" t="s">
        <v>81</v>
      </c>
      <c r="E36" s="464" t="s">
        <v>618</v>
      </c>
      <c r="F36" s="829" t="s">
        <v>619</v>
      </c>
      <c r="G36" s="441" t="s">
        <v>620</v>
      </c>
      <c r="H36" s="829"/>
      <c r="I36" s="829"/>
      <c r="J36" s="461"/>
      <c r="K36" s="461"/>
      <c r="L36" s="461"/>
      <c r="M36" s="461"/>
      <c r="N36" s="461"/>
      <c r="O36" s="461"/>
      <c r="P36" s="461"/>
      <c r="Q36" s="461"/>
      <c r="R36" s="461"/>
      <c r="S36" s="461"/>
      <c r="T36" s="461"/>
      <c r="U36" s="461"/>
      <c r="V36" s="461"/>
      <c r="W36" s="461"/>
    </row>
    <row r="37" spans="1:23" s="457" customFormat="1" ht="68">
      <c r="A37" s="154"/>
      <c r="B37" s="554">
        <v>50</v>
      </c>
      <c r="C37" s="446"/>
      <c r="D37" s="440" t="s">
        <v>83</v>
      </c>
      <c r="E37" s="464" t="s">
        <v>84</v>
      </c>
      <c r="F37" s="829" t="s">
        <v>621</v>
      </c>
      <c r="G37" s="441" t="s">
        <v>622</v>
      </c>
      <c r="H37" s="829"/>
      <c r="I37" s="829"/>
      <c r="J37" s="461"/>
      <c r="K37" s="461"/>
      <c r="L37" s="461"/>
      <c r="M37" s="461"/>
      <c r="N37" s="461"/>
      <c r="O37" s="461"/>
      <c r="P37" s="461"/>
      <c r="Q37" s="461"/>
      <c r="R37" s="461"/>
      <c r="S37" s="461"/>
      <c r="T37" s="461"/>
      <c r="U37" s="461"/>
      <c r="V37" s="461"/>
      <c r="W37" s="461"/>
    </row>
    <row r="38" spans="1:23" s="457" customFormat="1" ht="68">
      <c r="A38" s="154"/>
      <c r="B38" s="554">
        <v>51</v>
      </c>
      <c r="C38" s="446"/>
      <c r="D38" s="440" t="s">
        <v>85</v>
      </c>
      <c r="E38" s="464" t="s">
        <v>86</v>
      </c>
      <c r="F38" s="829" t="s">
        <v>623</v>
      </c>
      <c r="G38" s="441" t="s">
        <v>624</v>
      </c>
      <c r="H38" s="829"/>
      <c r="I38" s="829"/>
      <c r="J38" s="461"/>
      <c r="K38" s="461"/>
      <c r="L38" s="461"/>
      <c r="M38" s="461"/>
      <c r="N38" s="461"/>
      <c r="O38" s="461"/>
      <c r="P38" s="461"/>
      <c r="Q38" s="461"/>
      <c r="R38" s="461"/>
      <c r="S38" s="461"/>
      <c r="T38" s="461"/>
      <c r="U38" s="461"/>
      <c r="V38" s="461"/>
      <c r="W38" s="461"/>
    </row>
    <row r="39" spans="1:23" s="457" customFormat="1" ht="68">
      <c r="A39" s="154"/>
      <c r="B39" s="554">
        <v>52</v>
      </c>
      <c r="C39" s="446"/>
      <c r="D39" s="440" t="s">
        <v>625</v>
      </c>
      <c r="E39" s="464" t="s">
        <v>88</v>
      </c>
      <c r="F39" s="829" t="s">
        <v>626</v>
      </c>
      <c r="G39" s="441" t="s">
        <v>627</v>
      </c>
      <c r="H39" s="829"/>
      <c r="I39" s="829"/>
      <c r="J39" s="461"/>
      <c r="K39" s="461"/>
      <c r="L39" s="461"/>
      <c r="M39" s="461"/>
      <c r="N39" s="461"/>
      <c r="O39" s="461"/>
      <c r="P39" s="461"/>
      <c r="Q39" s="461"/>
      <c r="R39" s="461"/>
      <c r="S39" s="461"/>
      <c r="T39" s="461"/>
      <c r="U39" s="461"/>
      <c r="V39" s="461"/>
      <c r="W39" s="461"/>
    </row>
    <row r="40" spans="1:23" ht="29">
      <c r="B40" s="556">
        <f>B39+1</f>
        <v>53</v>
      </c>
      <c r="C40" s="448" t="s">
        <v>89</v>
      </c>
      <c r="D40" s="392"/>
      <c r="E40" s="392"/>
      <c r="F40" s="393"/>
      <c r="G40" s="393"/>
      <c r="H40" s="393"/>
      <c r="I40" s="393"/>
      <c r="J40" s="460"/>
      <c r="K40" s="460"/>
      <c r="L40" s="460"/>
      <c r="M40" s="460"/>
      <c r="N40" s="460"/>
      <c r="O40" s="460"/>
      <c r="P40" s="460"/>
      <c r="Q40" s="460"/>
      <c r="R40" s="460"/>
      <c r="S40" s="460"/>
      <c r="T40" s="460"/>
      <c r="U40" s="460"/>
      <c r="V40" s="460"/>
      <c r="W40" s="460"/>
    </row>
    <row r="41" spans="1:23" s="457" customFormat="1" ht="221">
      <c r="A41" s="158"/>
      <c r="B41" s="557">
        <v>54</v>
      </c>
      <c r="C41" s="442"/>
      <c r="D41" s="440" t="s">
        <v>90</v>
      </c>
      <c r="E41" s="464" t="s">
        <v>628</v>
      </c>
      <c r="F41" s="829" t="s">
        <v>629</v>
      </c>
      <c r="G41" s="441" t="s">
        <v>630</v>
      </c>
      <c r="H41" s="829"/>
      <c r="I41" s="829" t="s">
        <v>631</v>
      </c>
      <c r="J41" s="461"/>
      <c r="K41" s="461"/>
      <c r="L41" s="461"/>
      <c r="M41" s="461"/>
      <c r="N41" s="461"/>
      <c r="O41" s="461"/>
      <c r="P41" s="461"/>
      <c r="Q41" s="461"/>
      <c r="R41" s="461"/>
      <c r="S41" s="461"/>
      <c r="T41" s="461"/>
      <c r="U41" s="461"/>
      <c r="V41" s="461"/>
      <c r="W41" s="461"/>
    </row>
    <row r="42" spans="1:23" s="457" customFormat="1" ht="85">
      <c r="A42" s="154"/>
      <c r="B42" s="557">
        <v>55</v>
      </c>
      <c r="C42" s="442"/>
      <c r="D42" s="440" t="s">
        <v>632</v>
      </c>
      <c r="E42" s="464" t="s">
        <v>633</v>
      </c>
      <c r="F42" s="829" t="s">
        <v>634</v>
      </c>
      <c r="G42" s="441" t="s">
        <v>635</v>
      </c>
      <c r="H42" s="829"/>
      <c r="I42" s="829"/>
      <c r="J42" s="461"/>
      <c r="K42" s="461"/>
      <c r="L42" s="461"/>
      <c r="M42" s="461"/>
      <c r="N42" s="461"/>
      <c r="O42" s="461"/>
      <c r="P42" s="461"/>
      <c r="Q42" s="461"/>
      <c r="R42" s="461"/>
      <c r="S42" s="461"/>
      <c r="T42" s="461"/>
      <c r="U42" s="461"/>
      <c r="V42" s="461"/>
      <c r="W42" s="461"/>
    </row>
    <row r="43" spans="1:23" s="457" customFormat="1" ht="85">
      <c r="A43" s="154"/>
      <c r="B43" s="557">
        <v>56</v>
      </c>
      <c r="C43" s="442"/>
      <c r="D43" s="440" t="s">
        <v>95</v>
      </c>
      <c r="E43" s="558" t="s">
        <v>97</v>
      </c>
      <c r="F43" s="829" t="s">
        <v>636</v>
      </c>
      <c r="G43" s="441" t="s">
        <v>637</v>
      </c>
      <c r="H43" s="829"/>
      <c r="I43" s="829"/>
      <c r="J43" s="461"/>
      <c r="K43" s="461"/>
      <c r="L43" s="461"/>
      <c r="M43" s="461"/>
      <c r="N43" s="461"/>
      <c r="O43" s="461"/>
      <c r="P43" s="461"/>
      <c r="Q43" s="461"/>
      <c r="R43" s="461"/>
      <c r="S43" s="461"/>
      <c r="T43" s="461"/>
      <c r="U43" s="461"/>
      <c r="V43" s="461"/>
      <c r="W43" s="461"/>
    </row>
    <row r="44" spans="1:23" s="457" customFormat="1" ht="85">
      <c r="A44" s="154"/>
      <c r="B44" s="557">
        <v>57</v>
      </c>
      <c r="C44" s="442"/>
      <c r="D44" s="440" t="s">
        <v>98</v>
      </c>
      <c r="E44" s="558" t="s">
        <v>99</v>
      </c>
      <c r="F44" s="829" t="s">
        <v>638</v>
      </c>
      <c r="G44" s="441" t="s">
        <v>639</v>
      </c>
      <c r="H44" s="829"/>
      <c r="I44" s="829"/>
      <c r="J44" s="461"/>
      <c r="K44" s="461"/>
      <c r="L44" s="461"/>
      <c r="M44" s="461"/>
      <c r="N44" s="461"/>
      <c r="O44" s="461"/>
      <c r="P44" s="461"/>
      <c r="Q44" s="461"/>
      <c r="R44" s="461"/>
      <c r="S44" s="461"/>
      <c r="T44" s="461"/>
      <c r="U44" s="461"/>
      <c r="V44" s="461"/>
      <c r="W44" s="461"/>
    </row>
    <row r="45" spans="1:23" s="457" customFormat="1" ht="85">
      <c r="A45" s="154"/>
      <c r="B45" s="557">
        <v>58</v>
      </c>
      <c r="C45" s="442"/>
      <c r="D45" s="440" t="s">
        <v>100</v>
      </c>
      <c r="E45" s="464" t="s">
        <v>640</v>
      </c>
      <c r="F45" s="829" t="s">
        <v>641</v>
      </c>
      <c r="G45" s="441" t="s">
        <v>642</v>
      </c>
      <c r="H45" s="829"/>
      <c r="I45" s="829"/>
      <c r="J45" s="461"/>
      <c r="K45" s="461"/>
      <c r="L45" s="461"/>
      <c r="M45" s="461"/>
      <c r="N45" s="461"/>
      <c r="O45" s="461"/>
      <c r="P45" s="461"/>
      <c r="Q45" s="461"/>
      <c r="R45" s="461"/>
      <c r="S45" s="461"/>
      <c r="T45" s="461"/>
      <c r="U45" s="461"/>
      <c r="V45" s="461"/>
      <c r="W45" s="461"/>
    </row>
    <row r="46" spans="1:23" s="457" customFormat="1" ht="85">
      <c r="A46" s="157"/>
      <c r="B46" s="557">
        <v>59</v>
      </c>
      <c r="C46" s="442"/>
      <c r="D46" s="440" t="s">
        <v>103</v>
      </c>
      <c r="E46" s="464" t="s">
        <v>643</v>
      </c>
      <c r="F46" s="829" t="s">
        <v>644</v>
      </c>
      <c r="G46" s="441" t="s">
        <v>645</v>
      </c>
      <c r="H46" s="829" t="s">
        <v>646</v>
      </c>
      <c r="I46" s="829" t="s">
        <v>647</v>
      </c>
      <c r="J46" s="826"/>
      <c r="K46" s="826"/>
      <c r="L46" s="826"/>
      <c r="M46" s="826"/>
      <c r="N46" s="826"/>
      <c r="O46" s="826"/>
      <c r="P46" s="826"/>
      <c r="Q46" s="826"/>
      <c r="R46" s="826"/>
      <c r="S46" s="826"/>
      <c r="T46" s="826"/>
      <c r="U46" s="826"/>
      <c r="V46" s="826"/>
      <c r="W46" s="826"/>
    </row>
    <row r="47" spans="1:23" s="457" customFormat="1" ht="85">
      <c r="A47" s="158"/>
      <c r="B47" s="557">
        <v>60</v>
      </c>
      <c r="C47" s="442"/>
      <c r="D47" s="440" t="s">
        <v>105</v>
      </c>
      <c r="E47" s="464" t="s">
        <v>648</v>
      </c>
      <c r="F47" s="829" t="s">
        <v>649</v>
      </c>
      <c r="G47" s="441" t="s">
        <v>650</v>
      </c>
      <c r="H47" s="829" t="s">
        <v>646</v>
      </c>
      <c r="I47" s="829" t="s">
        <v>647</v>
      </c>
      <c r="J47" s="826"/>
      <c r="K47" s="826"/>
      <c r="L47" s="826"/>
      <c r="M47" s="826"/>
      <c r="N47" s="826"/>
      <c r="O47" s="826"/>
      <c r="P47" s="826"/>
      <c r="Q47" s="826"/>
      <c r="R47" s="826"/>
      <c r="S47" s="826"/>
      <c r="T47" s="826"/>
      <c r="U47" s="826"/>
      <c r="V47" s="826"/>
      <c r="W47" s="826"/>
    </row>
    <row r="48" spans="1:23" ht="29">
      <c r="B48" s="147"/>
      <c r="C48" s="458"/>
      <c r="D48" s="152"/>
      <c r="E48" s="459"/>
      <c r="F48" s="451"/>
      <c r="G48" s="460"/>
      <c r="H48" s="460"/>
      <c r="I48" s="460"/>
      <c r="J48" s="460"/>
      <c r="K48" s="460"/>
      <c r="L48" s="460"/>
      <c r="M48" s="460"/>
      <c r="N48" s="460"/>
      <c r="O48" s="460"/>
      <c r="P48" s="460"/>
      <c r="Q48" s="460"/>
      <c r="R48" s="460"/>
      <c r="S48" s="460"/>
      <c r="T48" s="460"/>
      <c r="U48" s="460"/>
      <c r="V48" s="460"/>
      <c r="W48" s="460"/>
    </row>
    <row r="49" spans="1:23" ht="29">
      <c r="B49" s="552">
        <v>62</v>
      </c>
      <c r="C49" s="462" t="s">
        <v>107</v>
      </c>
      <c r="D49" s="463"/>
      <c r="E49" s="394"/>
      <c r="F49" s="395"/>
      <c r="G49" s="395"/>
      <c r="H49" s="395"/>
      <c r="I49" s="395"/>
      <c r="J49" s="460"/>
      <c r="K49" s="460"/>
      <c r="L49" s="460"/>
      <c r="M49" s="460"/>
      <c r="N49" s="460"/>
      <c r="O49" s="460"/>
      <c r="P49" s="460"/>
      <c r="Q49" s="460"/>
      <c r="R49" s="460"/>
      <c r="S49" s="460"/>
      <c r="T49" s="460"/>
      <c r="U49" s="460"/>
      <c r="V49" s="460"/>
      <c r="W49" s="460"/>
    </row>
    <row r="50" spans="1:23" s="457" customFormat="1" ht="214" customHeight="1">
      <c r="A50" s="154"/>
      <c r="B50" s="417">
        <v>63</v>
      </c>
      <c r="C50" s="529"/>
      <c r="D50" s="530"/>
      <c r="E50" s="1222" t="s">
        <v>651</v>
      </c>
      <c r="F50" s="1223"/>
      <c r="G50" s="531"/>
      <c r="H50" s="532"/>
      <c r="I50" s="532"/>
      <c r="J50" s="461"/>
      <c r="K50" s="461"/>
      <c r="L50" s="461"/>
      <c r="M50" s="461"/>
      <c r="N50" s="461"/>
      <c r="O50" s="461"/>
      <c r="P50" s="461"/>
      <c r="Q50" s="461"/>
      <c r="R50" s="461"/>
      <c r="S50" s="461"/>
      <c r="T50" s="461"/>
      <c r="U50" s="461"/>
      <c r="V50" s="461"/>
      <c r="W50" s="461"/>
    </row>
    <row r="51" spans="1:23" ht="29">
      <c r="A51" s="1055"/>
      <c r="B51" s="552">
        <v>64</v>
      </c>
      <c r="C51" s="462" t="s">
        <v>110</v>
      </c>
      <c r="D51" s="463"/>
      <c r="E51" s="396"/>
      <c r="F51" s="397"/>
      <c r="G51" s="397"/>
      <c r="H51" s="397"/>
      <c r="I51" s="397"/>
      <c r="J51" s="460"/>
      <c r="K51" s="460"/>
      <c r="L51" s="460"/>
      <c r="M51" s="460"/>
      <c r="N51" s="460"/>
      <c r="O51" s="460"/>
      <c r="P51" s="460"/>
      <c r="Q51" s="460"/>
      <c r="R51" s="460"/>
      <c r="S51" s="460"/>
      <c r="T51" s="460"/>
      <c r="U51" s="460"/>
      <c r="V51" s="460"/>
      <c r="W51" s="460"/>
    </row>
    <row r="52" spans="1:23" ht="29">
      <c r="A52" s="1055"/>
      <c r="B52" s="831">
        <v>65</v>
      </c>
      <c r="C52" s="399" t="s">
        <v>112</v>
      </c>
      <c r="D52" s="400"/>
      <c r="E52" s="400"/>
      <c r="F52" s="398"/>
      <c r="G52" s="398"/>
      <c r="H52" s="398"/>
      <c r="I52" s="398"/>
      <c r="J52" s="460"/>
      <c r="K52" s="460"/>
      <c r="L52" s="460"/>
      <c r="M52" s="460"/>
      <c r="N52" s="460"/>
      <c r="O52" s="460"/>
      <c r="P52" s="460"/>
      <c r="Q52" s="460"/>
      <c r="R52" s="460"/>
      <c r="S52" s="460"/>
      <c r="T52" s="460"/>
      <c r="U52" s="460"/>
      <c r="V52" s="460"/>
      <c r="W52" s="460"/>
    </row>
    <row r="53" spans="1:23" s="457" customFormat="1" ht="356">
      <c r="A53" s="158"/>
      <c r="B53" s="417">
        <v>66</v>
      </c>
      <c r="C53" s="416"/>
      <c r="D53" s="415" t="s">
        <v>113</v>
      </c>
      <c r="E53" s="464" t="s">
        <v>114</v>
      </c>
      <c r="F53" s="441" t="s">
        <v>652</v>
      </c>
      <c r="G53" s="465" t="s">
        <v>653</v>
      </c>
      <c r="H53" s="829" t="s">
        <v>654</v>
      </c>
      <c r="I53" s="829" t="s">
        <v>655</v>
      </c>
      <c r="J53" s="461"/>
      <c r="K53" s="461"/>
      <c r="L53" s="461"/>
      <c r="M53" s="461"/>
      <c r="N53" s="461"/>
      <c r="O53" s="461"/>
      <c r="P53" s="461"/>
      <c r="Q53" s="461"/>
      <c r="R53" s="461"/>
      <c r="S53" s="461"/>
      <c r="T53" s="461"/>
      <c r="U53" s="461"/>
      <c r="V53" s="461"/>
      <c r="W53" s="461"/>
    </row>
    <row r="54" spans="1:23" s="457" customFormat="1" ht="68">
      <c r="A54" s="154"/>
      <c r="B54" s="417">
        <v>67</v>
      </c>
      <c r="C54" s="416"/>
      <c r="D54" s="415" t="s">
        <v>115</v>
      </c>
      <c r="E54" s="464" t="s">
        <v>116</v>
      </c>
      <c r="F54" s="441" t="s">
        <v>656</v>
      </c>
      <c r="G54" s="465" t="s">
        <v>657</v>
      </c>
      <c r="H54" s="465" t="s">
        <v>657</v>
      </c>
      <c r="I54" s="465" t="s">
        <v>657</v>
      </c>
      <c r="J54" s="461"/>
      <c r="K54" s="461"/>
      <c r="L54" s="461"/>
      <c r="M54" s="461"/>
      <c r="N54" s="461"/>
      <c r="O54" s="461"/>
      <c r="P54" s="461"/>
      <c r="Q54" s="461"/>
      <c r="R54" s="461"/>
      <c r="S54" s="461"/>
      <c r="T54" s="461"/>
      <c r="U54" s="461"/>
      <c r="V54" s="461"/>
      <c r="W54" s="461"/>
    </row>
    <row r="55" spans="1:23" s="457" customFormat="1" ht="29">
      <c r="A55" s="154"/>
      <c r="B55" s="417">
        <v>68</v>
      </c>
      <c r="C55" s="416"/>
      <c r="D55" s="415"/>
      <c r="E55" s="464"/>
      <c r="F55" s="441"/>
      <c r="G55" s="461"/>
      <c r="H55" s="465"/>
      <c r="I55" s="465"/>
      <c r="J55" s="461"/>
      <c r="K55" s="461"/>
      <c r="L55" s="461"/>
      <c r="M55" s="461"/>
      <c r="N55" s="461"/>
      <c r="O55" s="461"/>
      <c r="P55" s="461"/>
      <c r="Q55" s="461"/>
      <c r="R55" s="461"/>
      <c r="S55" s="461"/>
      <c r="T55" s="461"/>
      <c r="U55" s="461"/>
      <c r="V55" s="461"/>
      <c r="W55" s="461"/>
    </row>
    <row r="56" spans="1:23" s="457" customFormat="1" ht="68">
      <c r="A56" s="154"/>
      <c r="B56" s="417">
        <v>69</v>
      </c>
      <c r="C56" s="416"/>
      <c r="D56" s="415" t="s">
        <v>117</v>
      </c>
      <c r="E56" s="464" t="s">
        <v>118</v>
      </c>
      <c r="F56" s="441" t="s">
        <v>658</v>
      </c>
      <c r="G56" s="465" t="s">
        <v>657</v>
      </c>
      <c r="H56" s="465" t="s">
        <v>657</v>
      </c>
      <c r="I56" s="465" t="s">
        <v>657</v>
      </c>
      <c r="J56" s="461"/>
      <c r="K56" s="461"/>
      <c r="L56" s="461"/>
      <c r="M56" s="461"/>
      <c r="N56" s="461"/>
      <c r="O56" s="461"/>
      <c r="P56" s="461"/>
      <c r="Q56" s="461"/>
      <c r="R56" s="461"/>
      <c r="S56" s="461"/>
      <c r="T56" s="461"/>
      <c r="U56" s="461"/>
      <c r="V56" s="461"/>
      <c r="W56" s="461"/>
    </row>
    <row r="57" spans="1:23" s="457" customFormat="1" ht="68">
      <c r="A57" s="154"/>
      <c r="B57" s="417">
        <v>70</v>
      </c>
      <c r="C57" s="416"/>
      <c r="D57" s="415" t="s">
        <v>119</v>
      </c>
      <c r="E57" s="464" t="s">
        <v>120</v>
      </c>
      <c r="F57" s="441" t="s">
        <v>659</v>
      </c>
      <c r="G57" s="465" t="s">
        <v>657</v>
      </c>
      <c r="H57" s="465" t="s">
        <v>657</v>
      </c>
      <c r="I57" s="465" t="s">
        <v>657</v>
      </c>
      <c r="J57" s="461"/>
      <c r="K57" s="461"/>
      <c r="L57" s="461"/>
      <c r="M57" s="461"/>
      <c r="N57" s="461"/>
      <c r="O57" s="461"/>
      <c r="P57" s="461"/>
      <c r="Q57" s="461"/>
      <c r="R57" s="461"/>
      <c r="S57" s="461"/>
      <c r="T57" s="461"/>
      <c r="U57" s="461"/>
      <c r="V57" s="461"/>
      <c r="W57" s="461"/>
    </row>
    <row r="58" spans="1:23" s="457" customFormat="1" ht="29">
      <c r="A58" s="154"/>
      <c r="B58" s="417">
        <v>71</v>
      </c>
      <c r="C58" s="416"/>
      <c r="D58" s="415"/>
      <c r="E58" s="464"/>
      <c r="F58" s="441"/>
      <c r="G58" s="461"/>
      <c r="H58" s="465"/>
      <c r="I58" s="465"/>
      <c r="J58" s="461"/>
      <c r="K58" s="461"/>
      <c r="L58" s="461"/>
      <c r="M58" s="461"/>
      <c r="N58" s="461"/>
      <c r="O58" s="461"/>
      <c r="P58" s="461"/>
      <c r="Q58" s="461"/>
      <c r="R58" s="461"/>
      <c r="S58" s="461"/>
      <c r="T58" s="461"/>
      <c r="U58" s="461"/>
      <c r="V58" s="461"/>
      <c r="W58" s="461"/>
    </row>
    <row r="59" spans="1:23" s="457" customFormat="1" ht="68">
      <c r="A59" s="154"/>
      <c r="B59" s="417">
        <v>72</v>
      </c>
      <c r="C59" s="416"/>
      <c r="D59" s="415" t="s">
        <v>121</v>
      </c>
      <c r="E59" s="464" t="s">
        <v>122</v>
      </c>
      <c r="F59" s="441" t="s">
        <v>660</v>
      </c>
      <c r="G59" s="465" t="s">
        <v>657</v>
      </c>
      <c r="H59" s="465" t="s">
        <v>657</v>
      </c>
      <c r="I59" s="465" t="s">
        <v>657</v>
      </c>
      <c r="J59" s="461"/>
      <c r="K59" s="461"/>
      <c r="L59" s="461"/>
      <c r="M59" s="461"/>
      <c r="N59" s="461"/>
      <c r="O59" s="461"/>
      <c r="P59" s="461"/>
      <c r="Q59" s="461"/>
      <c r="R59" s="461"/>
      <c r="S59" s="461"/>
      <c r="T59" s="461"/>
      <c r="U59" s="461"/>
      <c r="V59" s="461"/>
      <c r="W59" s="461"/>
    </row>
    <row r="60" spans="1:23" s="457" customFormat="1" ht="68">
      <c r="A60" s="154"/>
      <c r="B60" s="417">
        <v>73</v>
      </c>
      <c r="C60" s="416"/>
      <c r="D60" s="415" t="s">
        <v>123</v>
      </c>
      <c r="E60" s="464" t="s">
        <v>124</v>
      </c>
      <c r="F60" s="441" t="s">
        <v>661</v>
      </c>
      <c r="G60" s="465" t="s">
        <v>657</v>
      </c>
      <c r="H60" s="465" t="s">
        <v>657</v>
      </c>
      <c r="I60" s="465" t="s">
        <v>657</v>
      </c>
      <c r="J60" s="461"/>
      <c r="K60" s="461"/>
      <c r="L60" s="461"/>
      <c r="M60" s="461"/>
      <c r="N60" s="461"/>
      <c r="O60" s="461"/>
      <c r="P60" s="461"/>
      <c r="Q60" s="461"/>
      <c r="R60" s="461"/>
      <c r="S60" s="461"/>
      <c r="T60" s="461"/>
      <c r="U60" s="461"/>
      <c r="V60" s="461"/>
      <c r="W60" s="461"/>
    </row>
    <row r="61" spans="1:23" s="457" customFormat="1" ht="29">
      <c r="A61" s="154"/>
      <c r="B61" s="417">
        <v>74</v>
      </c>
      <c r="C61" s="416"/>
      <c r="D61" s="415"/>
      <c r="E61" s="464"/>
      <c r="F61" s="441"/>
      <c r="G61" s="465"/>
      <c r="H61" s="465"/>
      <c r="I61" s="465"/>
      <c r="J61" s="461"/>
      <c r="K61" s="461"/>
      <c r="L61" s="461"/>
      <c r="M61" s="461"/>
      <c r="N61" s="461"/>
      <c r="O61" s="461"/>
      <c r="P61" s="461"/>
      <c r="Q61" s="461"/>
      <c r="R61" s="461"/>
      <c r="S61" s="461"/>
      <c r="T61" s="461"/>
      <c r="U61" s="461"/>
      <c r="V61" s="461"/>
      <c r="W61" s="461"/>
    </row>
    <row r="62" spans="1:23" s="457" customFormat="1" ht="68">
      <c r="A62" s="157"/>
      <c r="B62" s="417">
        <v>75</v>
      </c>
      <c r="C62" s="416"/>
      <c r="D62" s="415" t="s">
        <v>125</v>
      </c>
      <c r="E62" s="464" t="s">
        <v>126</v>
      </c>
      <c r="F62" s="441" t="s">
        <v>662</v>
      </c>
      <c r="G62" s="465" t="s">
        <v>657</v>
      </c>
      <c r="H62" s="465" t="s">
        <v>657</v>
      </c>
      <c r="I62" s="465" t="s">
        <v>657</v>
      </c>
      <c r="J62" s="461"/>
      <c r="K62" s="461"/>
      <c r="L62" s="461"/>
      <c r="M62" s="461"/>
      <c r="N62" s="461"/>
      <c r="O62" s="461"/>
      <c r="P62" s="461"/>
      <c r="Q62" s="461"/>
      <c r="R62" s="461"/>
      <c r="S62" s="461"/>
      <c r="T62" s="461"/>
      <c r="U62" s="461"/>
      <c r="V62" s="461"/>
      <c r="W62" s="461"/>
    </row>
    <row r="63" spans="1:23" s="457" customFormat="1" ht="68">
      <c r="A63" s="154"/>
      <c r="B63" s="417">
        <v>76</v>
      </c>
      <c r="C63" s="416"/>
      <c r="D63" s="415" t="s">
        <v>127</v>
      </c>
      <c r="E63" s="464" t="s">
        <v>128</v>
      </c>
      <c r="F63" s="441" t="s">
        <v>663</v>
      </c>
      <c r="G63" s="465" t="s">
        <v>657</v>
      </c>
      <c r="H63" s="465" t="s">
        <v>657</v>
      </c>
      <c r="I63" s="465" t="s">
        <v>657</v>
      </c>
      <c r="J63" s="461"/>
      <c r="K63" s="461"/>
      <c r="L63" s="461"/>
      <c r="M63" s="461"/>
      <c r="N63" s="461"/>
      <c r="O63" s="461"/>
      <c r="P63" s="461"/>
      <c r="Q63" s="461"/>
      <c r="R63" s="461"/>
      <c r="S63" s="461"/>
      <c r="T63" s="461"/>
      <c r="U63" s="461"/>
      <c r="V63" s="461"/>
      <c r="W63" s="461"/>
    </row>
    <row r="64" spans="1:23" s="457" customFormat="1" ht="29">
      <c r="A64" s="158"/>
      <c r="B64" s="417">
        <v>77</v>
      </c>
      <c r="C64" s="416"/>
      <c r="D64" s="415"/>
      <c r="E64" s="464"/>
      <c r="F64" s="441"/>
      <c r="G64" s="465"/>
      <c r="H64" s="465"/>
      <c r="I64" s="465"/>
      <c r="J64" s="826"/>
      <c r="K64" s="826"/>
      <c r="L64" s="826"/>
      <c r="M64" s="826"/>
      <c r="N64" s="826"/>
      <c r="O64" s="826"/>
      <c r="P64" s="826"/>
      <c r="Q64" s="826"/>
      <c r="R64" s="826"/>
      <c r="S64" s="826"/>
      <c r="T64" s="826"/>
      <c r="U64" s="826"/>
      <c r="V64" s="826"/>
      <c r="W64" s="826"/>
    </row>
    <row r="65" spans="1:23" s="457" customFormat="1" ht="85">
      <c r="A65" s="159"/>
      <c r="B65" s="417">
        <v>78</v>
      </c>
      <c r="C65" s="416"/>
      <c r="D65" s="415" t="s">
        <v>129</v>
      </c>
      <c r="E65" s="464" t="s">
        <v>130</v>
      </c>
      <c r="F65" s="441" t="s">
        <v>664</v>
      </c>
      <c r="G65" s="465" t="s">
        <v>657</v>
      </c>
      <c r="H65" s="465" t="s">
        <v>657</v>
      </c>
      <c r="I65" s="465" t="s">
        <v>657</v>
      </c>
      <c r="J65" s="826"/>
      <c r="K65" s="826"/>
      <c r="L65" s="826"/>
      <c r="M65" s="826"/>
      <c r="N65" s="826"/>
      <c r="O65" s="826"/>
      <c r="P65" s="826"/>
      <c r="Q65" s="826"/>
      <c r="R65" s="826"/>
      <c r="S65" s="826"/>
      <c r="T65" s="826"/>
      <c r="U65" s="826"/>
      <c r="V65" s="826"/>
      <c r="W65" s="826"/>
    </row>
    <row r="66" spans="1:23" s="457" customFormat="1" ht="85">
      <c r="A66" s="154"/>
      <c r="B66" s="417">
        <v>79</v>
      </c>
      <c r="C66" s="416"/>
      <c r="D66" s="415" t="s">
        <v>131</v>
      </c>
      <c r="E66" s="464" t="s">
        <v>132</v>
      </c>
      <c r="F66" s="441" t="s">
        <v>665</v>
      </c>
      <c r="G66" s="465" t="s">
        <v>657</v>
      </c>
      <c r="H66" s="465" t="s">
        <v>657</v>
      </c>
      <c r="I66" s="465" t="s">
        <v>657</v>
      </c>
      <c r="J66" s="826"/>
      <c r="K66" s="826"/>
      <c r="L66" s="826"/>
      <c r="M66" s="826"/>
      <c r="N66" s="826"/>
      <c r="O66" s="826"/>
      <c r="P66" s="826"/>
      <c r="Q66" s="826"/>
      <c r="R66" s="826"/>
      <c r="S66" s="826"/>
      <c r="T66" s="826"/>
      <c r="U66" s="826"/>
      <c r="V66" s="826"/>
      <c r="W66" s="826"/>
    </row>
    <row r="67" spans="1:23" s="457" customFormat="1" ht="85">
      <c r="A67" s="154"/>
      <c r="B67" s="417">
        <v>80</v>
      </c>
      <c r="C67" s="416"/>
      <c r="D67" s="415" t="s">
        <v>133</v>
      </c>
      <c r="E67" s="464" t="s">
        <v>134</v>
      </c>
      <c r="F67" s="441" t="s">
        <v>666</v>
      </c>
      <c r="G67" s="465" t="s">
        <v>657</v>
      </c>
      <c r="H67" s="465" t="s">
        <v>657</v>
      </c>
      <c r="I67" s="465" t="s">
        <v>657</v>
      </c>
      <c r="J67" s="826"/>
      <c r="K67" s="826"/>
      <c r="L67" s="826"/>
      <c r="M67" s="826"/>
      <c r="N67" s="826"/>
      <c r="O67" s="826"/>
      <c r="P67" s="826"/>
      <c r="Q67" s="826"/>
      <c r="R67" s="826"/>
      <c r="S67" s="826"/>
      <c r="T67" s="826"/>
      <c r="U67" s="826"/>
      <c r="V67" s="826"/>
      <c r="W67" s="826"/>
    </row>
    <row r="68" spans="1:23" s="457" customFormat="1" ht="85">
      <c r="A68" s="154"/>
      <c r="B68" s="417">
        <v>81</v>
      </c>
      <c r="C68" s="416"/>
      <c r="D68" s="415" t="s">
        <v>135</v>
      </c>
      <c r="E68" s="464" t="s">
        <v>136</v>
      </c>
      <c r="F68" s="441" t="s">
        <v>667</v>
      </c>
      <c r="G68" s="465" t="s">
        <v>657</v>
      </c>
      <c r="H68" s="465" t="s">
        <v>657</v>
      </c>
      <c r="I68" s="465" t="s">
        <v>657</v>
      </c>
      <c r="J68" s="826"/>
      <c r="K68" s="826"/>
      <c r="L68" s="826"/>
      <c r="M68" s="826"/>
      <c r="N68" s="826"/>
      <c r="O68" s="826"/>
      <c r="P68" s="826"/>
      <c r="Q68" s="826"/>
      <c r="R68" s="826"/>
      <c r="S68" s="826"/>
      <c r="T68" s="826"/>
      <c r="U68" s="826"/>
      <c r="V68" s="826"/>
      <c r="W68" s="826"/>
    </row>
    <row r="69" spans="1:23" s="457" customFormat="1" ht="29">
      <c r="A69" s="154"/>
      <c r="B69" s="417">
        <v>82</v>
      </c>
      <c r="C69" s="416"/>
      <c r="D69" s="415"/>
      <c r="E69" s="464"/>
      <c r="F69" s="441"/>
      <c r="G69" s="465"/>
      <c r="H69" s="465"/>
      <c r="I69" s="465"/>
      <c r="J69" s="826"/>
      <c r="K69" s="826"/>
      <c r="L69" s="826"/>
      <c r="M69" s="826"/>
      <c r="N69" s="826"/>
      <c r="O69" s="826"/>
      <c r="P69" s="826"/>
      <c r="Q69" s="826"/>
      <c r="R69" s="826"/>
      <c r="S69" s="826"/>
      <c r="T69" s="826"/>
      <c r="U69" s="826"/>
      <c r="V69" s="826"/>
      <c r="W69" s="826"/>
    </row>
    <row r="70" spans="1:23" s="457" customFormat="1" ht="68">
      <c r="A70" s="154"/>
      <c r="B70" s="417">
        <v>83</v>
      </c>
      <c r="C70" s="416"/>
      <c r="D70" s="415" t="s">
        <v>137</v>
      </c>
      <c r="E70" s="464" t="s">
        <v>138</v>
      </c>
      <c r="F70" s="441" t="s">
        <v>668</v>
      </c>
      <c r="G70" s="465" t="s">
        <v>657</v>
      </c>
      <c r="H70" s="465" t="s">
        <v>657</v>
      </c>
      <c r="I70" s="465" t="s">
        <v>657</v>
      </c>
      <c r="J70" s="826"/>
      <c r="K70" s="826"/>
      <c r="L70" s="826"/>
      <c r="M70" s="826"/>
      <c r="N70" s="826"/>
      <c r="O70" s="826"/>
      <c r="P70" s="826"/>
      <c r="Q70" s="826"/>
      <c r="R70" s="826"/>
      <c r="S70" s="826"/>
      <c r="T70" s="826"/>
      <c r="U70" s="826"/>
      <c r="V70" s="826"/>
      <c r="W70" s="826"/>
    </row>
    <row r="71" spans="1:23" s="457" customFormat="1" ht="68">
      <c r="A71" s="154"/>
      <c r="B71" s="417">
        <v>84</v>
      </c>
      <c r="C71" s="416"/>
      <c r="D71" s="415" t="s">
        <v>139</v>
      </c>
      <c r="E71" s="464" t="s">
        <v>140</v>
      </c>
      <c r="F71" s="441" t="s">
        <v>669</v>
      </c>
      <c r="G71" s="465" t="s">
        <v>657</v>
      </c>
      <c r="H71" s="465" t="s">
        <v>657</v>
      </c>
      <c r="I71" s="465" t="s">
        <v>657</v>
      </c>
      <c r="J71" s="826"/>
      <c r="K71" s="826"/>
      <c r="L71" s="826"/>
      <c r="M71" s="826"/>
      <c r="N71" s="826"/>
      <c r="O71" s="826"/>
      <c r="P71" s="826"/>
      <c r="Q71" s="826"/>
      <c r="R71" s="826"/>
      <c r="S71" s="826"/>
      <c r="T71" s="826"/>
      <c r="U71" s="826"/>
      <c r="V71" s="826"/>
      <c r="W71" s="826"/>
    </row>
    <row r="72" spans="1:23" s="457" customFormat="1" ht="68">
      <c r="A72" s="154"/>
      <c r="B72" s="417">
        <v>85</v>
      </c>
      <c r="C72" s="416"/>
      <c r="D72" s="415" t="s">
        <v>141</v>
      </c>
      <c r="E72" s="464" t="s">
        <v>142</v>
      </c>
      <c r="F72" s="441" t="s">
        <v>670</v>
      </c>
      <c r="G72" s="465" t="s">
        <v>657</v>
      </c>
      <c r="H72" s="465" t="s">
        <v>657</v>
      </c>
      <c r="I72" s="465" t="s">
        <v>657</v>
      </c>
      <c r="J72" s="826"/>
      <c r="K72" s="826"/>
      <c r="L72" s="826"/>
      <c r="M72" s="826"/>
      <c r="N72" s="826"/>
      <c r="O72" s="826"/>
      <c r="P72" s="826"/>
      <c r="Q72" s="826"/>
      <c r="R72" s="826"/>
      <c r="S72" s="826"/>
      <c r="T72" s="826"/>
      <c r="U72" s="826"/>
      <c r="V72" s="826"/>
      <c r="W72" s="826"/>
    </row>
    <row r="73" spans="1:23" s="457" customFormat="1" ht="68">
      <c r="A73" s="154"/>
      <c r="B73" s="417">
        <v>86</v>
      </c>
      <c r="C73" s="416"/>
      <c r="D73" s="415" t="s">
        <v>143</v>
      </c>
      <c r="E73" s="464" t="s">
        <v>144</v>
      </c>
      <c r="F73" s="441" t="s">
        <v>671</v>
      </c>
      <c r="G73" s="465" t="s">
        <v>657</v>
      </c>
      <c r="H73" s="465" t="s">
        <v>657</v>
      </c>
      <c r="I73" s="465" t="s">
        <v>657</v>
      </c>
      <c r="J73" s="826"/>
      <c r="K73" s="826"/>
      <c r="L73" s="826"/>
      <c r="M73" s="826"/>
      <c r="N73" s="826"/>
      <c r="O73" s="826"/>
      <c r="P73" s="826"/>
      <c r="Q73" s="826"/>
      <c r="R73" s="826"/>
      <c r="S73" s="826"/>
      <c r="T73" s="826"/>
      <c r="U73" s="826"/>
      <c r="V73" s="826"/>
      <c r="W73" s="826"/>
    </row>
    <row r="74" spans="1:23" s="457" customFormat="1" ht="29">
      <c r="A74" s="154"/>
      <c r="B74" s="417">
        <v>87</v>
      </c>
      <c r="C74" s="416"/>
      <c r="D74" s="415"/>
      <c r="E74" s="464"/>
      <c r="F74" s="441"/>
      <c r="G74" s="465"/>
      <c r="H74" s="465"/>
      <c r="I74" s="465"/>
      <c r="J74" s="826"/>
      <c r="K74" s="826"/>
      <c r="L74" s="461"/>
      <c r="M74" s="461"/>
      <c r="N74" s="461"/>
      <c r="O74" s="461"/>
      <c r="P74" s="461"/>
      <c r="Q74" s="461"/>
      <c r="R74" s="461"/>
      <c r="S74" s="461"/>
      <c r="T74" s="461"/>
      <c r="U74" s="461"/>
      <c r="V74" s="461"/>
      <c r="W74" s="461"/>
    </row>
    <row r="75" spans="1:23" s="457" customFormat="1" ht="68">
      <c r="A75" s="154"/>
      <c r="B75" s="417">
        <v>88</v>
      </c>
      <c r="C75" s="416"/>
      <c r="D75" s="415" t="s">
        <v>145</v>
      </c>
      <c r="E75" s="464" t="s">
        <v>146</v>
      </c>
      <c r="F75" s="441" t="s">
        <v>672</v>
      </c>
      <c r="G75" s="465" t="s">
        <v>657</v>
      </c>
      <c r="H75" s="465" t="s">
        <v>657</v>
      </c>
      <c r="I75" s="465" t="s">
        <v>657</v>
      </c>
      <c r="J75" s="826"/>
      <c r="K75" s="826"/>
      <c r="L75" s="461"/>
      <c r="M75" s="461"/>
      <c r="N75" s="461"/>
      <c r="O75" s="461"/>
      <c r="P75" s="461"/>
      <c r="Q75" s="461"/>
      <c r="R75" s="461"/>
      <c r="S75" s="461"/>
      <c r="T75" s="461"/>
      <c r="U75" s="461"/>
      <c r="V75" s="461"/>
      <c r="W75" s="461"/>
    </row>
    <row r="76" spans="1:23" s="457" customFormat="1" ht="68">
      <c r="A76" s="154"/>
      <c r="B76" s="417">
        <v>89</v>
      </c>
      <c r="C76" s="416"/>
      <c r="D76" s="415" t="s">
        <v>147</v>
      </c>
      <c r="E76" s="464" t="s">
        <v>148</v>
      </c>
      <c r="F76" s="441" t="s">
        <v>673</v>
      </c>
      <c r="G76" s="465" t="s">
        <v>657</v>
      </c>
      <c r="H76" s="465" t="s">
        <v>657</v>
      </c>
      <c r="I76" s="465" t="s">
        <v>657</v>
      </c>
      <c r="J76" s="826"/>
      <c r="K76" s="826"/>
      <c r="L76" s="461"/>
      <c r="M76" s="461"/>
      <c r="N76" s="461"/>
      <c r="O76" s="461"/>
      <c r="P76" s="461"/>
      <c r="Q76" s="461"/>
      <c r="R76" s="461"/>
      <c r="S76" s="461"/>
      <c r="T76" s="461"/>
      <c r="U76" s="461"/>
      <c r="V76" s="461"/>
      <c r="W76" s="461"/>
    </row>
    <row r="77" spans="1:23" ht="29">
      <c r="B77" s="552">
        <v>90</v>
      </c>
      <c r="C77" s="449" t="s">
        <v>149</v>
      </c>
      <c r="D77" s="466"/>
      <c r="E77" s="396"/>
      <c r="F77" s="397"/>
      <c r="G77" s="397"/>
      <c r="H77" s="397"/>
      <c r="I77" s="397"/>
      <c r="J77" s="825"/>
      <c r="K77" s="825"/>
      <c r="L77" s="460"/>
      <c r="M77" s="460"/>
      <c r="N77" s="460"/>
      <c r="O77" s="460"/>
      <c r="P77" s="460"/>
      <c r="Q77" s="460"/>
      <c r="R77" s="460"/>
      <c r="S77" s="460"/>
      <c r="T77" s="460"/>
      <c r="U77" s="460"/>
      <c r="V77" s="460"/>
      <c r="W77" s="460"/>
    </row>
    <row r="78" spans="1:23" ht="29">
      <c r="A78" s="1055"/>
      <c r="B78" s="553">
        <v>91</v>
      </c>
      <c r="C78" s="450" t="s">
        <v>151</v>
      </c>
      <c r="D78" s="402"/>
      <c r="E78" s="398"/>
      <c r="F78" s="398"/>
      <c r="G78" s="398"/>
      <c r="H78" s="398"/>
      <c r="I78" s="398"/>
      <c r="J78" s="825"/>
      <c r="K78" s="825"/>
      <c r="L78" s="460"/>
      <c r="M78" s="460"/>
      <c r="N78" s="460"/>
      <c r="O78" s="460"/>
      <c r="P78" s="460"/>
      <c r="Q78" s="460"/>
      <c r="R78" s="460"/>
      <c r="S78" s="460"/>
      <c r="T78" s="460"/>
      <c r="U78" s="460"/>
      <c r="V78" s="460"/>
      <c r="W78" s="460"/>
    </row>
    <row r="79" spans="1:23" s="457" customFormat="1" ht="48">
      <c r="A79" s="154"/>
      <c r="B79" s="417">
        <v>92</v>
      </c>
      <c r="C79" s="416"/>
      <c r="D79" s="415" t="s">
        <v>152</v>
      </c>
      <c r="E79" s="464" t="s">
        <v>154</v>
      </c>
      <c r="F79" s="455" t="s">
        <v>674</v>
      </c>
      <c r="G79" s="826" t="s">
        <v>675</v>
      </c>
      <c r="H79" s="826"/>
      <c r="I79" s="826"/>
      <c r="J79" s="826"/>
      <c r="K79" s="826"/>
      <c r="L79" s="461"/>
      <c r="M79" s="461"/>
      <c r="N79" s="461"/>
      <c r="O79" s="461"/>
      <c r="P79" s="461"/>
      <c r="Q79" s="461"/>
      <c r="R79" s="461"/>
      <c r="S79" s="461"/>
      <c r="T79" s="461"/>
      <c r="U79" s="461"/>
      <c r="V79" s="461"/>
      <c r="W79" s="461"/>
    </row>
    <row r="80" spans="1:23" s="457" customFormat="1" ht="80">
      <c r="A80" s="154"/>
      <c r="B80" s="417">
        <v>93</v>
      </c>
      <c r="C80" s="416"/>
      <c r="D80" s="415" t="s">
        <v>155</v>
      </c>
      <c r="E80" s="464" t="s">
        <v>157</v>
      </c>
      <c r="F80" s="441" t="s">
        <v>676</v>
      </c>
      <c r="G80" s="826" t="s">
        <v>677</v>
      </c>
      <c r="H80" s="826"/>
      <c r="I80" s="826"/>
      <c r="J80" s="826"/>
      <c r="K80" s="826"/>
      <c r="L80" s="461"/>
      <c r="M80" s="461"/>
      <c r="N80" s="461"/>
      <c r="O80" s="461"/>
      <c r="P80" s="461"/>
      <c r="Q80" s="461"/>
      <c r="R80" s="461"/>
      <c r="S80" s="461"/>
      <c r="T80" s="461"/>
      <c r="U80" s="461"/>
      <c r="V80" s="461"/>
      <c r="W80" s="461"/>
    </row>
    <row r="81" spans="1:23" s="457" customFormat="1" ht="29">
      <c r="A81" s="154"/>
      <c r="B81" s="417">
        <v>94</v>
      </c>
      <c r="C81" s="416"/>
      <c r="D81" s="415"/>
      <c r="E81" s="464"/>
      <c r="F81" s="441"/>
      <c r="G81" s="826"/>
      <c r="H81" s="826"/>
      <c r="I81" s="826"/>
      <c r="J81" s="826"/>
      <c r="K81" s="826"/>
      <c r="L81" s="461"/>
      <c r="M81" s="461"/>
      <c r="N81" s="461"/>
      <c r="O81" s="461"/>
      <c r="P81" s="461"/>
      <c r="Q81" s="461"/>
      <c r="R81" s="461"/>
      <c r="S81" s="461"/>
      <c r="T81" s="461"/>
      <c r="U81" s="461"/>
      <c r="V81" s="461"/>
      <c r="W81" s="461"/>
    </row>
    <row r="82" spans="1:23" s="457" customFormat="1" ht="48">
      <c r="A82" s="154"/>
      <c r="B82" s="417">
        <v>95</v>
      </c>
      <c r="C82" s="416"/>
      <c r="D82" s="415" t="s">
        <v>158</v>
      </c>
      <c r="E82" s="464" t="s">
        <v>159</v>
      </c>
      <c r="F82" s="455" t="s">
        <v>678</v>
      </c>
      <c r="G82" s="826" t="s">
        <v>679</v>
      </c>
      <c r="H82" s="826"/>
      <c r="I82" s="826"/>
      <c r="J82" s="826"/>
      <c r="K82" s="826"/>
      <c r="L82" s="461"/>
      <c r="M82" s="461"/>
      <c r="N82" s="461"/>
      <c r="O82" s="461"/>
      <c r="P82" s="461"/>
      <c r="Q82" s="461"/>
      <c r="R82" s="461"/>
      <c r="S82" s="461"/>
      <c r="T82" s="461"/>
      <c r="U82" s="461"/>
      <c r="V82" s="461"/>
      <c r="W82" s="461"/>
    </row>
    <row r="83" spans="1:23" s="457" customFormat="1" ht="80">
      <c r="A83" s="1055"/>
      <c r="B83" s="417">
        <v>96</v>
      </c>
      <c r="C83" s="416"/>
      <c r="D83" s="415" t="s">
        <v>160</v>
      </c>
      <c r="E83" s="464" t="s">
        <v>161</v>
      </c>
      <c r="F83" s="441" t="s">
        <v>680</v>
      </c>
      <c r="G83" s="826" t="s">
        <v>681</v>
      </c>
      <c r="H83" s="826"/>
      <c r="I83" s="826"/>
      <c r="J83" s="826"/>
      <c r="K83" s="826"/>
      <c r="L83" s="461"/>
      <c r="M83" s="461"/>
      <c r="N83" s="461"/>
      <c r="O83" s="461"/>
      <c r="P83" s="461"/>
      <c r="Q83" s="461"/>
      <c r="R83" s="461"/>
      <c r="S83" s="461"/>
      <c r="T83" s="461"/>
      <c r="U83" s="461"/>
      <c r="V83" s="461"/>
      <c r="W83" s="461"/>
    </row>
    <row r="84" spans="1:23" s="457" customFormat="1" ht="29">
      <c r="A84" s="1055"/>
      <c r="B84" s="417">
        <v>97</v>
      </c>
      <c r="C84" s="416"/>
      <c r="D84" s="416"/>
      <c r="E84" s="832"/>
      <c r="F84" s="833"/>
      <c r="G84" s="833"/>
      <c r="H84" s="826"/>
      <c r="I84" s="826"/>
      <c r="J84" s="826"/>
      <c r="K84" s="826"/>
      <c r="L84" s="461"/>
      <c r="M84" s="461"/>
      <c r="N84" s="461"/>
      <c r="O84" s="461"/>
      <c r="P84" s="461"/>
      <c r="Q84" s="461"/>
      <c r="R84" s="461"/>
      <c r="S84" s="461"/>
      <c r="T84" s="461"/>
      <c r="U84" s="461"/>
      <c r="V84" s="461"/>
      <c r="W84" s="461"/>
    </row>
    <row r="85" spans="1:23" s="457" customFormat="1" ht="48">
      <c r="A85" s="1055"/>
      <c r="B85" s="417">
        <v>98</v>
      </c>
      <c r="C85" s="416"/>
      <c r="D85" s="415" t="s">
        <v>162</v>
      </c>
      <c r="E85" s="464" t="s">
        <v>163</v>
      </c>
      <c r="F85" s="455" t="s">
        <v>682</v>
      </c>
      <c r="G85" s="826" t="s">
        <v>683</v>
      </c>
      <c r="H85" s="826"/>
      <c r="I85" s="826"/>
      <c r="J85" s="826"/>
      <c r="K85" s="826"/>
      <c r="L85" s="461"/>
      <c r="M85" s="461"/>
      <c r="N85" s="461"/>
      <c r="O85" s="461"/>
      <c r="P85" s="461"/>
      <c r="Q85" s="461"/>
      <c r="R85" s="461"/>
      <c r="S85" s="461"/>
      <c r="T85" s="461"/>
      <c r="U85" s="461"/>
      <c r="V85" s="461"/>
      <c r="W85" s="461"/>
    </row>
    <row r="86" spans="1:23" s="457" customFormat="1" ht="80">
      <c r="A86" s="154"/>
      <c r="B86" s="417">
        <v>99</v>
      </c>
      <c r="C86" s="416"/>
      <c r="D86" s="415" t="s">
        <v>164</v>
      </c>
      <c r="E86" s="464" t="s">
        <v>165</v>
      </c>
      <c r="F86" s="441" t="s">
        <v>684</v>
      </c>
      <c r="G86" s="826" t="s">
        <v>685</v>
      </c>
      <c r="H86" s="826"/>
      <c r="I86" s="826"/>
      <c r="J86" s="826"/>
      <c r="K86" s="826"/>
      <c r="L86" s="461"/>
      <c r="M86" s="461"/>
      <c r="N86" s="461"/>
      <c r="O86" s="461"/>
      <c r="P86" s="461"/>
      <c r="Q86" s="461"/>
      <c r="R86" s="461"/>
      <c r="S86" s="461"/>
      <c r="T86" s="461"/>
      <c r="U86" s="461"/>
      <c r="V86" s="461"/>
      <c r="W86" s="461"/>
    </row>
    <row r="87" spans="1:23" ht="29">
      <c r="B87" s="834">
        <v>100</v>
      </c>
      <c r="C87" s="450" t="s">
        <v>166</v>
      </c>
      <c r="D87" s="402"/>
      <c r="E87" s="400"/>
      <c r="F87" s="398"/>
      <c r="G87" s="398"/>
      <c r="H87" s="398"/>
      <c r="I87" s="398"/>
      <c r="J87" s="825"/>
      <c r="K87" s="825"/>
      <c r="L87" s="460"/>
      <c r="M87" s="460"/>
      <c r="N87" s="460"/>
      <c r="O87" s="460"/>
      <c r="P87" s="460"/>
      <c r="Q87" s="460"/>
      <c r="R87" s="460"/>
      <c r="S87" s="460"/>
      <c r="T87" s="460"/>
      <c r="U87" s="460"/>
      <c r="V87" s="460"/>
      <c r="W87" s="460"/>
    </row>
    <row r="88" spans="1:23" s="457" customFormat="1" ht="176">
      <c r="A88" s="154"/>
      <c r="B88" s="417">
        <v>101</v>
      </c>
      <c r="C88" s="416"/>
      <c r="D88" s="415" t="s">
        <v>167</v>
      </c>
      <c r="E88" s="464" t="s">
        <v>168</v>
      </c>
      <c r="F88" s="441" t="s">
        <v>686</v>
      </c>
      <c r="G88" s="826" t="s">
        <v>687</v>
      </c>
      <c r="H88" s="826"/>
      <c r="I88" s="826"/>
      <c r="J88" s="826"/>
      <c r="K88" s="826"/>
      <c r="L88" s="461"/>
      <c r="M88" s="461"/>
      <c r="N88" s="461"/>
      <c r="O88" s="461"/>
      <c r="P88" s="461"/>
      <c r="Q88" s="461"/>
      <c r="R88" s="461"/>
      <c r="S88" s="461"/>
      <c r="T88" s="461"/>
      <c r="U88" s="461"/>
      <c r="V88" s="461"/>
      <c r="W88" s="461"/>
    </row>
    <row r="89" spans="1:23" s="457" customFormat="1" ht="51">
      <c r="A89" s="154"/>
      <c r="B89" s="417">
        <v>102</v>
      </c>
      <c r="C89" s="416"/>
      <c r="D89" s="415" t="s">
        <v>169</v>
      </c>
      <c r="E89" s="464" t="s">
        <v>170</v>
      </c>
      <c r="F89" s="441" t="s">
        <v>688</v>
      </c>
      <c r="G89" s="826" t="s">
        <v>689</v>
      </c>
      <c r="H89" s="826"/>
      <c r="I89" s="826"/>
      <c r="J89" s="826"/>
      <c r="K89" s="826"/>
      <c r="L89" s="461"/>
      <c r="M89" s="461"/>
      <c r="N89" s="461"/>
      <c r="O89" s="461"/>
      <c r="P89" s="461"/>
      <c r="Q89" s="461"/>
      <c r="R89" s="461"/>
      <c r="S89" s="461"/>
      <c r="T89" s="461"/>
      <c r="U89" s="461"/>
      <c r="V89" s="461"/>
      <c r="W89" s="461"/>
    </row>
    <row r="90" spans="1:23" s="457" customFormat="1" ht="85">
      <c r="A90" s="158"/>
      <c r="B90" s="417">
        <v>103</v>
      </c>
      <c r="C90" s="416"/>
      <c r="D90" s="415" t="s">
        <v>690</v>
      </c>
      <c r="E90" s="464" t="s">
        <v>172</v>
      </c>
      <c r="F90" s="441" t="s">
        <v>691</v>
      </c>
      <c r="G90" s="826" t="s">
        <v>689</v>
      </c>
      <c r="H90" s="826"/>
      <c r="I90" s="826"/>
      <c r="J90" s="826"/>
      <c r="K90" s="826"/>
      <c r="L90" s="461"/>
      <c r="M90" s="461"/>
      <c r="N90" s="461"/>
      <c r="O90" s="461"/>
      <c r="P90" s="461"/>
      <c r="Q90" s="461"/>
      <c r="R90" s="461"/>
      <c r="S90" s="461"/>
      <c r="T90" s="461"/>
      <c r="U90" s="461"/>
      <c r="V90" s="461"/>
      <c r="W90" s="461"/>
    </row>
    <row r="91" spans="1:23" s="457" customFormat="1" ht="29">
      <c r="A91" s="159"/>
      <c r="B91" s="417">
        <v>104</v>
      </c>
      <c r="C91" s="416"/>
      <c r="D91" s="415"/>
      <c r="E91" s="464"/>
      <c r="F91" s="441"/>
      <c r="G91" s="826"/>
      <c r="H91" s="826"/>
      <c r="I91" s="826"/>
      <c r="J91" s="826"/>
      <c r="K91" s="826"/>
      <c r="L91" s="461"/>
      <c r="M91" s="461"/>
      <c r="N91" s="461"/>
      <c r="O91" s="461"/>
      <c r="P91" s="461"/>
      <c r="Q91" s="461"/>
      <c r="R91" s="461"/>
      <c r="S91" s="461"/>
      <c r="T91" s="461"/>
      <c r="U91" s="461"/>
      <c r="V91" s="461"/>
      <c r="W91" s="461"/>
    </row>
    <row r="92" spans="1:23" s="457" customFormat="1" ht="51">
      <c r="A92" s="154"/>
      <c r="B92" s="417">
        <v>105</v>
      </c>
      <c r="C92" s="416"/>
      <c r="D92" s="415" t="s">
        <v>173</v>
      </c>
      <c r="E92" s="464" t="s">
        <v>174</v>
      </c>
      <c r="F92" s="441" t="s">
        <v>692</v>
      </c>
      <c r="G92" s="826" t="s">
        <v>689</v>
      </c>
      <c r="H92" s="826"/>
      <c r="I92" s="826"/>
      <c r="J92" s="826"/>
      <c r="K92" s="826"/>
      <c r="L92" s="461"/>
      <c r="M92" s="461"/>
      <c r="N92" s="461"/>
      <c r="O92" s="461"/>
      <c r="P92" s="461"/>
      <c r="Q92" s="461"/>
      <c r="R92" s="461"/>
      <c r="S92" s="461"/>
      <c r="T92" s="461"/>
      <c r="U92" s="461"/>
      <c r="V92" s="461"/>
      <c r="W92" s="461"/>
    </row>
    <row r="93" spans="1:23" s="457" customFormat="1" ht="51">
      <c r="A93" s="154"/>
      <c r="B93" s="417">
        <v>106</v>
      </c>
      <c r="C93" s="416"/>
      <c r="D93" s="415" t="s">
        <v>175</v>
      </c>
      <c r="E93" s="464" t="s">
        <v>176</v>
      </c>
      <c r="F93" s="441" t="s">
        <v>693</v>
      </c>
      <c r="G93" s="826" t="s">
        <v>689</v>
      </c>
      <c r="H93" s="826"/>
      <c r="I93" s="826"/>
      <c r="J93" s="826"/>
      <c r="K93" s="826"/>
      <c r="L93" s="461"/>
      <c r="M93" s="461"/>
      <c r="N93" s="461"/>
      <c r="O93" s="461"/>
      <c r="P93" s="461"/>
      <c r="Q93" s="461"/>
      <c r="R93" s="461"/>
      <c r="S93" s="461"/>
      <c r="T93" s="461"/>
      <c r="U93" s="461"/>
      <c r="V93" s="461"/>
      <c r="W93" s="461"/>
    </row>
    <row r="94" spans="1:23" s="457" customFormat="1" ht="102">
      <c r="A94" s="154"/>
      <c r="B94" s="417">
        <v>107</v>
      </c>
      <c r="C94" s="416"/>
      <c r="D94" s="415" t="s">
        <v>177</v>
      </c>
      <c r="E94" s="464" t="s">
        <v>178</v>
      </c>
      <c r="F94" s="441" t="s">
        <v>694</v>
      </c>
      <c r="G94" s="826" t="s">
        <v>689</v>
      </c>
      <c r="H94" s="826"/>
      <c r="I94" s="826"/>
      <c r="J94" s="826"/>
      <c r="K94" s="826"/>
      <c r="L94" s="461"/>
      <c r="M94" s="461"/>
      <c r="N94" s="461"/>
      <c r="O94" s="461"/>
      <c r="P94" s="461"/>
      <c r="Q94" s="461"/>
      <c r="R94" s="461"/>
      <c r="S94" s="461"/>
      <c r="T94" s="461"/>
      <c r="U94" s="461"/>
      <c r="V94" s="461"/>
      <c r="W94" s="461"/>
    </row>
    <row r="95" spans="1:23" s="457" customFormat="1" ht="29">
      <c r="A95" s="154"/>
      <c r="B95" s="417">
        <v>108</v>
      </c>
      <c r="C95" s="416"/>
      <c r="D95" s="415"/>
      <c r="E95" s="464"/>
      <c r="F95" s="441"/>
      <c r="G95" s="826"/>
      <c r="H95" s="826"/>
      <c r="I95" s="826"/>
      <c r="J95" s="826"/>
      <c r="K95" s="826"/>
      <c r="L95" s="461"/>
      <c r="M95" s="461"/>
      <c r="N95" s="461"/>
      <c r="O95" s="461"/>
      <c r="P95" s="461"/>
      <c r="Q95" s="461"/>
      <c r="R95" s="461"/>
      <c r="S95" s="461"/>
      <c r="T95" s="461"/>
      <c r="U95" s="461"/>
      <c r="V95" s="461"/>
      <c r="W95" s="461"/>
    </row>
    <row r="96" spans="1:23" s="457" customFormat="1" ht="51">
      <c r="A96" s="154"/>
      <c r="B96" s="417">
        <v>109</v>
      </c>
      <c r="C96" s="416"/>
      <c r="D96" s="415" t="s">
        <v>179</v>
      </c>
      <c r="E96" s="464" t="s">
        <v>180</v>
      </c>
      <c r="F96" s="441" t="s">
        <v>695</v>
      </c>
      <c r="G96" s="826" t="s">
        <v>689</v>
      </c>
      <c r="H96" s="826"/>
      <c r="I96" s="826"/>
      <c r="J96" s="826"/>
      <c r="K96" s="826"/>
      <c r="L96" s="461"/>
      <c r="M96" s="461"/>
      <c r="N96" s="461"/>
      <c r="O96" s="461"/>
      <c r="P96" s="461"/>
      <c r="Q96" s="461"/>
      <c r="R96" s="461"/>
      <c r="S96" s="461"/>
      <c r="T96" s="461"/>
      <c r="U96" s="461"/>
      <c r="V96" s="461"/>
      <c r="W96" s="461"/>
    </row>
    <row r="97" spans="1:23" s="457" customFormat="1" ht="51">
      <c r="A97" s="154"/>
      <c r="B97" s="417">
        <v>110</v>
      </c>
      <c r="C97" s="416"/>
      <c r="D97" s="415" t="s">
        <v>181</v>
      </c>
      <c r="E97" s="464" t="s">
        <v>182</v>
      </c>
      <c r="F97" s="441" t="s">
        <v>696</v>
      </c>
      <c r="G97" s="826" t="s">
        <v>689</v>
      </c>
      <c r="H97" s="826"/>
      <c r="I97" s="826"/>
      <c r="J97" s="826"/>
      <c r="K97" s="826"/>
      <c r="L97" s="461"/>
      <c r="M97" s="461"/>
      <c r="N97" s="461"/>
      <c r="O97" s="461"/>
      <c r="P97" s="461"/>
      <c r="Q97" s="461"/>
      <c r="R97" s="461"/>
      <c r="S97" s="461"/>
      <c r="T97" s="461"/>
      <c r="U97" s="461"/>
      <c r="V97" s="461"/>
      <c r="W97" s="461"/>
    </row>
    <row r="98" spans="1:23" s="457" customFormat="1" ht="85">
      <c r="A98" s="154"/>
      <c r="B98" s="417">
        <v>111</v>
      </c>
      <c r="C98" s="416"/>
      <c r="D98" s="415" t="s">
        <v>183</v>
      </c>
      <c r="E98" s="464" t="s">
        <v>184</v>
      </c>
      <c r="F98" s="441" t="s">
        <v>697</v>
      </c>
      <c r="G98" s="826" t="s">
        <v>689</v>
      </c>
      <c r="H98" s="826"/>
      <c r="I98" s="826"/>
      <c r="J98" s="826"/>
      <c r="K98" s="826"/>
      <c r="L98" s="461"/>
      <c r="M98" s="461"/>
      <c r="N98" s="461"/>
      <c r="O98" s="461"/>
      <c r="P98" s="461"/>
      <c r="Q98" s="461"/>
      <c r="R98" s="461"/>
      <c r="S98" s="461"/>
      <c r="T98" s="461"/>
      <c r="U98" s="461"/>
      <c r="V98" s="461"/>
      <c r="W98" s="461"/>
    </row>
    <row r="99" spans="1:23" ht="29">
      <c r="B99" s="401">
        <v>112</v>
      </c>
      <c r="C99" s="450" t="s">
        <v>185</v>
      </c>
      <c r="D99" s="402"/>
      <c r="E99" s="400"/>
      <c r="F99" s="398"/>
      <c r="G99" s="398"/>
      <c r="H99" s="398"/>
      <c r="I99" s="398"/>
      <c r="J99" s="825"/>
      <c r="K99" s="825"/>
      <c r="L99" s="460"/>
      <c r="M99" s="460"/>
      <c r="N99" s="460"/>
      <c r="O99" s="460"/>
      <c r="P99" s="460"/>
      <c r="Q99" s="460"/>
      <c r="R99" s="460"/>
      <c r="S99" s="460"/>
      <c r="T99" s="460"/>
      <c r="U99" s="460"/>
      <c r="V99" s="460"/>
      <c r="W99" s="460"/>
    </row>
    <row r="100" spans="1:23" s="457" customFormat="1" ht="96">
      <c r="A100" s="159"/>
      <c r="B100" s="417">
        <v>113</v>
      </c>
      <c r="C100" s="416"/>
      <c r="D100" s="415" t="s">
        <v>187</v>
      </c>
      <c r="E100" s="464" t="s">
        <v>188</v>
      </c>
      <c r="F100" s="441" t="s">
        <v>698</v>
      </c>
      <c r="G100" s="826" t="s">
        <v>699</v>
      </c>
      <c r="H100" s="826" t="s">
        <v>700</v>
      </c>
      <c r="I100" s="826" t="s">
        <v>701</v>
      </c>
      <c r="J100" s="826"/>
      <c r="K100" s="826"/>
      <c r="L100" s="461"/>
      <c r="M100" s="461"/>
      <c r="N100" s="461"/>
      <c r="O100" s="461"/>
      <c r="P100" s="461"/>
      <c r="Q100" s="461"/>
      <c r="R100" s="461"/>
      <c r="S100" s="461"/>
      <c r="T100" s="461"/>
      <c r="U100" s="461"/>
      <c r="V100" s="461"/>
      <c r="W100" s="461"/>
    </row>
    <row r="101" spans="1:23" s="457" customFormat="1" ht="29">
      <c r="A101" s="1055"/>
      <c r="B101" s="417">
        <v>114</v>
      </c>
      <c r="C101" s="416"/>
      <c r="D101" s="415" t="s">
        <v>189</v>
      </c>
      <c r="E101" s="464" t="s">
        <v>190</v>
      </c>
      <c r="F101" s="441" t="s">
        <v>702</v>
      </c>
      <c r="G101" s="826" t="s">
        <v>703</v>
      </c>
      <c r="H101" s="826" t="s">
        <v>703</v>
      </c>
      <c r="I101" s="826" t="s">
        <v>703</v>
      </c>
      <c r="J101" s="826"/>
      <c r="K101" s="826"/>
      <c r="L101" s="461"/>
      <c r="M101" s="461"/>
      <c r="N101" s="461"/>
      <c r="O101" s="461"/>
      <c r="P101" s="461"/>
      <c r="Q101" s="461"/>
      <c r="R101" s="461"/>
      <c r="S101" s="461"/>
      <c r="T101" s="461"/>
      <c r="U101" s="461"/>
      <c r="V101" s="461"/>
      <c r="W101" s="461"/>
    </row>
    <row r="102" spans="1:23" s="457" customFormat="1" ht="34">
      <c r="A102" s="1055"/>
      <c r="B102" s="417">
        <v>115</v>
      </c>
      <c r="C102" s="416"/>
      <c r="D102" s="415" t="s">
        <v>191</v>
      </c>
      <c r="E102" s="464" t="s">
        <v>192</v>
      </c>
      <c r="F102" s="441" t="s">
        <v>704</v>
      </c>
      <c r="G102" s="826" t="s">
        <v>703</v>
      </c>
      <c r="H102" s="826" t="s">
        <v>703</v>
      </c>
      <c r="I102" s="826" t="s">
        <v>703</v>
      </c>
      <c r="J102" s="826"/>
      <c r="K102" s="826"/>
      <c r="L102" s="461"/>
      <c r="M102" s="461"/>
      <c r="N102" s="461"/>
      <c r="O102" s="461"/>
      <c r="P102" s="461"/>
      <c r="Q102" s="461"/>
      <c r="R102" s="461"/>
      <c r="S102" s="461"/>
      <c r="T102" s="461"/>
      <c r="U102" s="461"/>
      <c r="V102" s="461"/>
      <c r="W102" s="461"/>
    </row>
    <row r="103" spans="1:23" s="457" customFormat="1" ht="29">
      <c r="A103" s="1055"/>
      <c r="B103" s="417">
        <v>116</v>
      </c>
      <c r="C103" s="416"/>
      <c r="D103" s="415" t="s">
        <v>193</v>
      </c>
      <c r="E103" s="464" t="s">
        <v>194</v>
      </c>
      <c r="F103" s="441" t="s">
        <v>705</v>
      </c>
      <c r="G103" s="826" t="s">
        <v>703</v>
      </c>
      <c r="H103" s="826" t="s">
        <v>703</v>
      </c>
      <c r="I103" s="826" t="s">
        <v>703</v>
      </c>
      <c r="J103" s="826"/>
      <c r="K103" s="826"/>
      <c r="L103" s="461"/>
      <c r="M103" s="461"/>
      <c r="N103" s="461"/>
      <c r="O103" s="461"/>
      <c r="P103" s="461"/>
      <c r="Q103" s="461"/>
      <c r="R103" s="461"/>
      <c r="S103" s="461"/>
      <c r="T103" s="461"/>
      <c r="U103" s="461"/>
      <c r="V103" s="461"/>
      <c r="W103" s="461"/>
    </row>
    <row r="104" spans="1:23" s="457" customFormat="1" ht="34">
      <c r="A104" s="154"/>
      <c r="B104" s="417">
        <v>117</v>
      </c>
      <c r="C104" s="416"/>
      <c r="D104" s="415" t="s">
        <v>195</v>
      </c>
      <c r="E104" s="464" t="s">
        <v>196</v>
      </c>
      <c r="F104" s="441" t="s">
        <v>706</v>
      </c>
      <c r="G104" s="826" t="s">
        <v>703</v>
      </c>
      <c r="H104" s="826" t="s">
        <v>703</v>
      </c>
      <c r="I104" s="826" t="s">
        <v>703</v>
      </c>
      <c r="J104" s="826"/>
      <c r="K104" s="826"/>
      <c r="L104" s="461"/>
      <c r="M104" s="461"/>
      <c r="N104" s="461"/>
      <c r="O104" s="461"/>
      <c r="P104" s="461"/>
      <c r="Q104" s="461"/>
      <c r="R104" s="461"/>
      <c r="S104" s="461"/>
      <c r="T104" s="461"/>
      <c r="U104" s="461"/>
      <c r="V104" s="461"/>
      <c r="W104" s="461"/>
    </row>
    <row r="105" spans="1:23" s="457" customFormat="1" ht="34">
      <c r="A105" s="1055"/>
      <c r="B105" s="417">
        <v>118</v>
      </c>
      <c r="C105" s="416"/>
      <c r="D105" s="415" t="s">
        <v>197</v>
      </c>
      <c r="E105" s="464" t="s">
        <v>198</v>
      </c>
      <c r="F105" s="441" t="s">
        <v>707</v>
      </c>
      <c r="G105" s="826" t="s">
        <v>703</v>
      </c>
      <c r="H105" s="826" t="s">
        <v>703</v>
      </c>
      <c r="I105" s="826" t="s">
        <v>703</v>
      </c>
      <c r="J105" s="826"/>
      <c r="K105" s="826"/>
      <c r="L105" s="461"/>
      <c r="M105" s="461"/>
      <c r="N105" s="461"/>
      <c r="O105" s="461"/>
      <c r="P105" s="461"/>
      <c r="Q105" s="461"/>
      <c r="R105" s="461"/>
      <c r="S105" s="461"/>
      <c r="T105" s="461"/>
      <c r="U105" s="461"/>
      <c r="V105" s="461"/>
      <c r="W105" s="461"/>
    </row>
    <row r="106" spans="1:23" s="457" customFormat="1" ht="34">
      <c r="A106" s="1055"/>
      <c r="B106" s="417">
        <v>119</v>
      </c>
      <c r="C106" s="416"/>
      <c r="D106" s="415" t="s">
        <v>199</v>
      </c>
      <c r="E106" s="464" t="s">
        <v>200</v>
      </c>
      <c r="F106" s="441" t="s">
        <v>708</v>
      </c>
      <c r="G106" s="826" t="s">
        <v>703</v>
      </c>
      <c r="H106" s="826" t="s">
        <v>703</v>
      </c>
      <c r="I106" s="826" t="s">
        <v>703</v>
      </c>
      <c r="J106" s="826"/>
      <c r="K106" s="826"/>
      <c r="L106" s="461"/>
      <c r="M106" s="461"/>
      <c r="N106" s="461"/>
      <c r="O106" s="461"/>
      <c r="P106" s="461"/>
      <c r="Q106" s="461"/>
      <c r="R106" s="461"/>
      <c r="S106" s="461"/>
      <c r="T106" s="461"/>
      <c r="U106" s="461"/>
      <c r="V106" s="461"/>
      <c r="W106" s="461"/>
    </row>
    <row r="107" spans="1:23" s="457" customFormat="1" ht="34">
      <c r="A107" s="154"/>
      <c r="B107" s="417">
        <v>120</v>
      </c>
      <c r="C107" s="416"/>
      <c r="D107" s="415" t="s">
        <v>201</v>
      </c>
      <c r="E107" s="464" t="s">
        <v>202</v>
      </c>
      <c r="F107" s="441" t="s">
        <v>709</v>
      </c>
      <c r="G107" s="826" t="s">
        <v>703</v>
      </c>
      <c r="H107" s="826" t="s">
        <v>703</v>
      </c>
      <c r="I107" s="826" t="s">
        <v>703</v>
      </c>
      <c r="J107" s="826"/>
      <c r="K107" s="826"/>
      <c r="L107" s="461"/>
      <c r="M107" s="461"/>
      <c r="N107" s="461"/>
      <c r="O107" s="461"/>
      <c r="P107" s="461"/>
      <c r="Q107" s="461"/>
      <c r="R107" s="461"/>
      <c r="S107" s="461"/>
      <c r="T107" s="461"/>
      <c r="U107" s="461"/>
      <c r="V107" s="461"/>
      <c r="W107" s="461"/>
    </row>
    <row r="108" spans="1:23" s="457" customFormat="1" ht="34">
      <c r="A108" s="154"/>
      <c r="B108" s="417">
        <v>121</v>
      </c>
      <c r="C108" s="416"/>
      <c r="D108" s="415" t="s">
        <v>203</v>
      </c>
      <c r="E108" s="464" t="s">
        <v>204</v>
      </c>
      <c r="F108" s="441" t="s">
        <v>710</v>
      </c>
      <c r="G108" s="826" t="s">
        <v>703</v>
      </c>
      <c r="H108" s="826" t="s">
        <v>703</v>
      </c>
      <c r="I108" s="826" t="s">
        <v>703</v>
      </c>
      <c r="J108" s="826"/>
      <c r="K108" s="826"/>
      <c r="L108" s="461"/>
      <c r="M108" s="461"/>
      <c r="N108" s="461"/>
      <c r="O108" s="461"/>
      <c r="P108" s="461"/>
      <c r="Q108" s="461"/>
      <c r="R108" s="461"/>
      <c r="S108" s="461"/>
      <c r="T108" s="461"/>
      <c r="U108" s="461"/>
      <c r="V108" s="461"/>
      <c r="W108" s="461"/>
    </row>
    <row r="109" spans="1:23" s="457" customFormat="1" ht="34">
      <c r="A109" s="1055"/>
      <c r="B109" s="417">
        <v>122</v>
      </c>
      <c r="C109" s="416"/>
      <c r="D109" s="415" t="s">
        <v>205</v>
      </c>
      <c r="E109" s="464" t="s">
        <v>206</v>
      </c>
      <c r="F109" s="441" t="s">
        <v>711</v>
      </c>
      <c r="G109" s="826" t="s">
        <v>703</v>
      </c>
      <c r="H109" s="826" t="s">
        <v>703</v>
      </c>
      <c r="I109" s="826" t="s">
        <v>703</v>
      </c>
      <c r="J109" s="826"/>
      <c r="K109" s="826"/>
      <c r="L109" s="461"/>
      <c r="M109" s="461"/>
      <c r="N109" s="461"/>
      <c r="O109" s="461"/>
      <c r="P109" s="461"/>
      <c r="Q109" s="461"/>
      <c r="R109" s="461"/>
      <c r="S109" s="461"/>
      <c r="T109" s="461"/>
      <c r="U109" s="461"/>
      <c r="V109" s="461"/>
      <c r="W109" s="461"/>
    </row>
    <row r="110" spans="1:23" ht="29">
      <c r="A110" s="1055"/>
      <c r="B110" s="401">
        <v>123</v>
      </c>
      <c r="C110" s="450" t="s">
        <v>207</v>
      </c>
      <c r="D110" s="402"/>
      <c r="E110" s="400"/>
      <c r="F110" s="398"/>
      <c r="G110" s="398"/>
      <c r="H110" s="398"/>
      <c r="I110" s="398"/>
      <c r="J110" s="460"/>
      <c r="K110" s="460"/>
      <c r="L110" s="460"/>
      <c r="M110" s="460"/>
      <c r="N110" s="460"/>
      <c r="O110" s="460"/>
      <c r="P110" s="460"/>
      <c r="Q110" s="460"/>
      <c r="R110" s="460"/>
      <c r="S110" s="460"/>
      <c r="T110" s="460"/>
      <c r="U110" s="460"/>
      <c r="V110" s="460"/>
      <c r="W110" s="460"/>
    </row>
    <row r="111" spans="1:23" s="457" customFormat="1" ht="80">
      <c r="A111" s="154"/>
      <c r="B111" s="417">
        <v>124</v>
      </c>
      <c r="C111" s="416"/>
      <c r="D111" s="415" t="s">
        <v>712</v>
      </c>
      <c r="E111" s="464" t="s">
        <v>209</v>
      </c>
      <c r="F111" s="835" t="s">
        <v>713</v>
      </c>
      <c r="G111" s="467" t="s">
        <v>714</v>
      </c>
      <c r="H111" s="826" t="s">
        <v>703</v>
      </c>
      <c r="I111" s="826" t="s">
        <v>703</v>
      </c>
      <c r="J111" s="461"/>
      <c r="K111" s="461"/>
      <c r="L111" s="461"/>
      <c r="M111" s="461"/>
      <c r="N111" s="461"/>
      <c r="O111" s="461"/>
      <c r="P111" s="461"/>
      <c r="Q111" s="461"/>
      <c r="R111" s="461"/>
      <c r="S111" s="461"/>
      <c r="T111" s="461"/>
      <c r="U111" s="461"/>
      <c r="V111" s="461"/>
      <c r="W111" s="461"/>
    </row>
    <row r="112" spans="1:23" s="457" customFormat="1" ht="64">
      <c r="A112" s="159"/>
      <c r="B112" s="417">
        <v>125</v>
      </c>
      <c r="C112" s="416"/>
      <c r="D112" s="415" t="s">
        <v>210</v>
      </c>
      <c r="E112" s="464" t="s">
        <v>211</v>
      </c>
      <c r="F112" s="835" t="s">
        <v>715</v>
      </c>
      <c r="G112" s="467" t="s">
        <v>716</v>
      </c>
      <c r="H112" s="826" t="s">
        <v>703</v>
      </c>
      <c r="I112" s="826" t="s">
        <v>703</v>
      </c>
      <c r="J112" s="461"/>
      <c r="K112" s="461"/>
      <c r="L112" s="461"/>
      <c r="M112" s="461"/>
      <c r="N112" s="461"/>
      <c r="O112" s="461"/>
      <c r="P112" s="461"/>
      <c r="Q112" s="461"/>
      <c r="R112" s="461"/>
      <c r="S112" s="461"/>
      <c r="T112" s="461"/>
      <c r="U112" s="461"/>
      <c r="V112" s="461"/>
      <c r="W112" s="461"/>
    </row>
    <row r="113" spans="1:23" s="457" customFormat="1" ht="64">
      <c r="A113" s="154"/>
      <c r="B113" s="417">
        <v>126</v>
      </c>
      <c r="C113" s="416"/>
      <c r="D113" s="415" t="s">
        <v>212</v>
      </c>
      <c r="E113" s="464" t="s">
        <v>213</v>
      </c>
      <c r="F113" s="835" t="s">
        <v>717</v>
      </c>
      <c r="G113" s="467" t="s">
        <v>718</v>
      </c>
      <c r="H113" s="826" t="s">
        <v>703</v>
      </c>
      <c r="I113" s="826" t="s">
        <v>703</v>
      </c>
      <c r="J113" s="461"/>
      <c r="K113" s="461"/>
      <c r="L113" s="461"/>
      <c r="M113" s="461"/>
      <c r="N113" s="461"/>
      <c r="O113" s="461"/>
      <c r="P113" s="461"/>
      <c r="Q113" s="461"/>
      <c r="R113" s="461"/>
      <c r="S113" s="461"/>
      <c r="T113" s="461"/>
      <c r="U113" s="461"/>
      <c r="V113" s="461"/>
      <c r="W113" s="461"/>
    </row>
    <row r="114" spans="1:23" s="457" customFormat="1" ht="48">
      <c r="A114" s="154"/>
      <c r="B114" s="417">
        <v>127</v>
      </c>
      <c r="C114" s="416"/>
      <c r="D114" s="415" t="s">
        <v>214</v>
      </c>
      <c r="E114" s="464" t="s">
        <v>215</v>
      </c>
      <c r="F114" s="835" t="s">
        <v>719</v>
      </c>
      <c r="G114" s="835" t="s">
        <v>720</v>
      </c>
      <c r="H114" s="826" t="s">
        <v>703</v>
      </c>
      <c r="I114" s="826" t="s">
        <v>703</v>
      </c>
      <c r="J114" s="461"/>
      <c r="K114" s="461"/>
      <c r="L114" s="461"/>
      <c r="M114" s="461"/>
      <c r="N114" s="461"/>
      <c r="O114" s="461"/>
      <c r="P114" s="461"/>
      <c r="Q114" s="461"/>
      <c r="R114" s="461"/>
      <c r="S114" s="461"/>
      <c r="T114" s="461"/>
      <c r="U114" s="461"/>
      <c r="V114" s="461"/>
      <c r="W114" s="461"/>
    </row>
    <row r="115" spans="1:23" ht="37">
      <c r="B115" s="468">
        <v>124</v>
      </c>
      <c r="C115" s="458"/>
      <c r="D115" s="469" t="s">
        <v>227</v>
      </c>
      <c r="E115" s="459"/>
      <c r="F115" s="451"/>
      <c r="G115" s="460"/>
      <c r="H115" s="460"/>
      <c r="I115" s="460"/>
      <c r="J115" s="460"/>
      <c r="K115" s="460"/>
      <c r="L115" s="460"/>
      <c r="M115" s="460"/>
      <c r="N115" s="460"/>
      <c r="O115" s="460"/>
      <c r="P115" s="460"/>
      <c r="Q115" s="460"/>
      <c r="R115" s="460"/>
      <c r="S115" s="460"/>
      <c r="T115" s="460"/>
      <c r="U115" s="460"/>
      <c r="V115" s="460"/>
      <c r="W115" s="460"/>
    </row>
    <row r="116" spans="1:23" ht="29">
      <c r="B116" s="568">
        <v>129</v>
      </c>
      <c r="C116" s="470" t="s">
        <v>216</v>
      </c>
      <c r="D116" s="471"/>
      <c r="E116" s="472"/>
      <c r="F116" s="473"/>
      <c r="G116" s="473"/>
      <c r="H116" s="473"/>
      <c r="I116" s="473"/>
      <c r="J116" s="460"/>
      <c r="K116" s="460"/>
      <c r="L116" s="460"/>
      <c r="M116" s="460"/>
      <c r="N116" s="460"/>
      <c r="O116" s="460"/>
      <c r="P116" s="460"/>
      <c r="Q116" s="460"/>
      <c r="R116" s="460"/>
      <c r="S116" s="460"/>
      <c r="T116" s="460"/>
      <c r="U116" s="460"/>
      <c r="V116" s="460"/>
      <c r="W116" s="460"/>
    </row>
    <row r="117" spans="1:23" ht="170" customHeight="1">
      <c r="B117" s="474">
        <v>130</v>
      </c>
      <c r="C117" s="475"/>
      <c r="D117" s="476"/>
      <c r="E117" s="1219" t="s">
        <v>721</v>
      </c>
      <c r="F117" s="1220"/>
      <c r="G117" s="836"/>
      <c r="H117" s="837"/>
      <c r="I117" s="837"/>
      <c r="J117" s="460"/>
      <c r="K117" s="460"/>
      <c r="L117" s="460"/>
      <c r="M117" s="460"/>
      <c r="N117" s="460"/>
      <c r="O117" s="460"/>
      <c r="P117" s="460"/>
      <c r="Q117" s="460"/>
      <c r="R117" s="460"/>
      <c r="S117" s="460"/>
      <c r="T117" s="460"/>
      <c r="U117" s="460"/>
      <c r="V117" s="460"/>
      <c r="W117" s="460"/>
    </row>
    <row r="118" spans="1:23" s="457" customFormat="1" ht="312" customHeight="1">
      <c r="A118" s="154"/>
      <c r="B118" s="410">
        <v>131</v>
      </c>
      <c r="C118" s="411" t="s">
        <v>218</v>
      </c>
      <c r="D118" s="412"/>
      <c r="E118" s="477"/>
      <c r="F118" s="409"/>
      <c r="G118" s="413" t="s">
        <v>722</v>
      </c>
      <c r="H118" s="838" t="s">
        <v>723</v>
      </c>
      <c r="I118" s="838" t="s">
        <v>724</v>
      </c>
      <c r="J118" s="461"/>
      <c r="K118" s="461"/>
      <c r="L118" s="461"/>
      <c r="M118" s="461"/>
      <c r="N118" s="461"/>
      <c r="O118" s="461"/>
      <c r="P118" s="461"/>
      <c r="Q118" s="461"/>
      <c r="R118" s="461"/>
      <c r="S118" s="461"/>
      <c r="T118" s="461"/>
      <c r="U118" s="461"/>
      <c r="V118" s="461"/>
      <c r="W118" s="461"/>
    </row>
    <row r="119" spans="1:23" ht="29">
      <c r="B119" s="478">
        <v>132</v>
      </c>
      <c r="C119" s="479" t="s">
        <v>219</v>
      </c>
      <c r="D119" s="480"/>
      <c r="E119" s="202"/>
      <c r="F119" s="481"/>
      <c r="G119" s="481"/>
      <c r="H119" s="481"/>
      <c r="I119" s="481"/>
      <c r="J119" s="482"/>
      <c r="K119" s="460"/>
      <c r="L119" s="460"/>
      <c r="M119" s="460"/>
      <c r="N119" s="460"/>
      <c r="O119" s="460"/>
      <c r="P119" s="460"/>
      <c r="Q119" s="460"/>
      <c r="R119" s="460"/>
      <c r="S119" s="460"/>
      <c r="T119" s="460"/>
      <c r="U119" s="460"/>
      <c r="V119" s="460"/>
      <c r="W119" s="460"/>
    </row>
    <row r="120" spans="1:23" s="457" customFormat="1" ht="51">
      <c r="A120" s="154"/>
      <c r="B120" s="483">
        <v>133</v>
      </c>
      <c r="C120" s="484"/>
      <c r="D120" s="485" t="s">
        <v>221</v>
      </c>
      <c r="E120" s="486" t="s">
        <v>222</v>
      </c>
      <c r="F120" s="441" t="s">
        <v>725</v>
      </c>
      <c r="G120" s="465" t="s">
        <v>726</v>
      </c>
      <c r="H120" s="465" t="s">
        <v>726</v>
      </c>
      <c r="I120" s="461"/>
      <c r="J120" s="461"/>
      <c r="K120" s="461"/>
      <c r="L120" s="461"/>
      <c r="M120" s="461"/>
      <c r="N120" s="461"/>
      <c r="O120" s="461"/>
      <c r="P120" s="461"/>
      <c r="Q120" s="461"/>
      <c r="R120" s="461"/>
      <c r="S120" s="461"/>
      <c r="T120" s="461"/>
      <c r="U120" s="461"/>
      <c r="V120" s="461"/>
      <c r="W120" s="461"/>
    </row>
    <row r="121" spans="1:23" ht="68">
      <c r="B121" s="483">
        <v>134</v>
      </c>
      <c r="C121" s="484"/>
      <c r="D121" s="485" t="s">
        <v>223</v>
      </c>
      <c r="E121" s="486" t="s">
        <v>1870</v>
      </c>
      <c r="F121" s="441" t="s">
        <v>727</v>
      </c>
      <c r="G121" s="465" t="s">
        <v>726</v>
      </c>
      <c r="H121" s="465" t="s">
        <v>726</v>
      </c>
      <c r="I121" s="460"/>
      <c r="J121" s="460"/>
      <c r="K121" s="460"/>
      <c r="L121" s="460"/>
      <c r="M121" s="460"/>
      <c r="N121" s="460"/>
      <c r="O121" s="460"/>
      <c r="P121" s="460"/>
      <c r="Q121" s="460"/>
      <c r="R121" s="460"/>
      <c r="S121" s="460"/>
      <c r="T121" s="460"/>
      <c r="U121" s="460"/>
      <c r="V121" s="460"/>
      <c r="W121" s="460"/>
    </row>
    <row r="122" spans="1:23" ht="29">
      <c r="B122" s="483">
        <v>135</v>
      </c>
      <c r="C122" s="484"/>
      <c r="D122" s="485"/>
      <c r="E122" s="464"/>
      <c r="F122" s="441"/>
      <c r="G122" s="465"/>
      <c r="H122" s="465"/>
      <c r="I122" s="460"/>
      <c r="J122" s="460"/>
      <c r="K122" s="460"/>
      <c r="L122" s="460"/>
      <c r="M122" s="460"/>
      <c r="N122" s="460"/>
      <c r="O122" s="460"/>
      <c r="P122" s="460"/>
      <c r="Q122" s="460"/>
      <c r="R122" s="460"/>
      <c r="S122" s="460"/>
      <c r="T122" s="460"/>
      <c r="U122" s="460"/>
      <c r="V122" s="460"/>
      <c r="W122" s="460"/>
    </row>
    <row r="123" spans="1:23" ht="51">
      <c r="A123" s="159"/>
      <c r="B123" s="483">
        <v>136</v>
      </c>
      <c r="C123" s="484"/>
      <c r="D123" s="485" t="s">
        <v>225</v>
      </c>
      <c r="E123" s="486" t="s">
        <v>226</v>
      </c>
      <c r="F123" s="441" t="s">
        <v>725</v>
      </c>
      <c r="G123" s="465" t="s">
        <v>726</v>
      </c>
      <c r="H123" s="465" t="s">
        <v>726</v>
      </c>
      <c r="I123" s="460"/>
      <c r="J123" s="460"/>
      <c r="K123" s="460"/>
      <c r="L123" s="460"/>
      <c r="M123" s="460"/>
      <c r="N123" s="460"/>
      <c r="O123" s="460"/>
      <c r="P123" s="460"/>
      <c r="Q123" s="460"/>
      <c r="R123" s="460"/>
      <c r="S123" s="460"/>
      <c r="T123" s="460"/>
      <c r="U123" s="460"/>
      <c r="V123" s="460"/>
      <c r="W123" s="460"/>
    </row>
    <row r="124" spans="1:23" ht="51">
      <c r="B124" s="483">
        <v>137</v>
      </c>
      <c r="C124" s="484"/>
      <c r="D124" s="485" t="s">
        <v>227</v>
      </c>
      <c r="E124" s="486" t="s">
        <v>1869</v>
      </c>
      <c r="F124" s="441" t="s">
        <v>727</v>
      </c>
      <c r="G124" s="465" t="s">
        <v>726</v>
      </c>
      <c r="H124" s="465" t="s">
        <v>726</v>
      </c>
      <c r="I124" s="460"/>
      <c r="J124" s="460"/>
      <c r="K124" s="460"/>
      <c r="L124" s="460"/>
      <c r="M124" s="460"/>
      <c r="N124" s="460"/>
      <c r="O124" s="460"/>
      <c r="P124" s="460"/>
      <c r="Q124" s="460"/>
      <c r="R124" s="460"/>
      <c r="S124" s="460"/>
      <c r="T124" s="460"/>
      <c r="U124" s="460"/>
      <c r="V124" s="460"/>
      <c r="W124" s="460"/>
    </row>
    <row r="125" spans="1:23" ht="29">
      <c r="B125" s="483">
        <v>138</v>
      </c>
      <c r="C125" s="484"/>
      <c r="D125" s="485"/>
      <c r="E125" s="464"/>
      <c r="F125" s="441"/>
      <c r="G125" s="465"/>
      <c r="H125" s="465"/>
      <c r="I125" s="460"/>
      <c r="J125" s="460"/>
      <c r="K125" s="460"/>
      <c r="L125" s="460"/>
      <c r="M125" s="460"/>
      <c r="N125" s="460"/>
      <c r="O125" s="460"/>
      <c r="P125" s="460"/>
      <c r="Q125" s="460"/>
      <c r="R125" s="460"/>
      <c r="S125" s="460"/>
      <c r="T125" s="460"/>
      <c r="U125" s="460"/>
      <c r="V125" s="460"/>
      <c r="W125" s="460"/>
    </row>
    <row r="126" spans="1:23" ht="51">
      <c r="B126" s="483">
        <v>139</v>
      </c>
      <c r="C126" s="484"/>
      <c r="D126" s="485" t="s">
        <v>228</v>
      </c>
      <c r="E126" s="486" t="s">
        <v>229</v>
      </c>
      <c r="F126" s="441" t="s">
        <v>725</v>
      </c>
      <c r="G126" s="465" t="s">
        <v>726</v>
      </c>
      <c r="H126" s="465" t="s">
        <v>726</v>
      </c>
      <c r="I126" s="460"/>
      <c r="J126" s="460"/>
      <c r="K126" s="460"/>
      <c r="L126" s="460"/>
      <c r="M126" s="460"/>
      <c r="N126" s="460"/>
      <c r="O126" s="460"/>
      <c r="P126" s="460"/>
      <c r="Q126" s="460"/>
      <c r="R126" s="460"/>
      <c r="S126" s="460"/>
      <c r="T126" s="460"/>
      <c r="U126" s="460"/>
      <c r="V126" s="460"/>
      <c r="W126" s="460"/>
    </row>
    <row r="127" spans="1:23" ht="68">
      <c r="B127" s="483">
        <v>140</v>
      </c>
      <c r="C127" s="484"/>
      <c r="D127" s="485" t="s">
        <v>230</v>
      </c>
      <c r="E127" s="486" t="s">
        <v>1871</v>
      </c>
      <c r="F127" s="441" t="s">
        <v>727</v>
      </c>
      <c r="G127" s="465" t="s">
        <v>726</v>
      </c>
      <c r="H127" s="465" t="s">
        <v>726</v>
      </c>
      <c r="I127" s="825"/>
      <c r="J127" s="825"/>
      <c r="K127" s="825"/>
      <c r="L127" s="460"/>
      <c r="M127" s="460"/>
      <c r="N127" s="460"/>
      <c r="O127" s="460"/>
      <c r="P127" s="460"/>
      <c r="Q127" s="460"/>
      <c r="R127" s="460"/>
      <c r="S127" s="460"/>
      <c r="T127" s="460"/>
      <c r="U127" s="460"/>
      <c r="V127" s="460"/>
      <c r="W127" s="460"/>
    </row>
    <row r="128" spans="1:23" ht="29">
      <c r="B128" s="483">
        <v>141</v>
      </c>
      <c r="C128" s="484"/>
      <c r="D128" s="485"/>
      <c r="E128" s="464"/>
      <c r="F128" s="441"/>
      <c r="G128" s="465"/>
      <c r="H128" s="465"/>
      <c r="I128" s="825"/>
      <c r="J128" s="825"/>
      <c r="K128" s="825"/>
      <c r="L128" s="460"/>
      <c r="M128" s="460"/>
      <c r="N128" s="460"/>
      <c r="O128" s="460"/>
      <c r="P128" s="460"/>
      <c r="Q128" s="460"/>
      <c r="R128" s="460"/>
      <c r="S128" s="460"/>
      <c r="T128" s="460"/>
      <c r="U128" s="460"/>
      <c r="V128" s="460"/>
      <c r="W128" s="460"/>
    </row>
    <row r="129" spans="1:23" ht="51">
      <c r="A129" s="160"/>
      <c r="B129" s="483">
        <v>142</v>
      </c>
      <c r="C129" s="484"/>
      <c r="D129" s="485" t="s">
        <v>231</v>
      </c>
      <c r="E129" s="486" t="s">
        <v>232</v>
      </c>
      <c r="F129" s="441" t="s">
        <v>725</v>
      </c>
      <c r="G129" s="465" t="s">
        <v>726</v>
      </c>
      <c r="H129" s="465" t="s">
        <v>726</v>
      </c>
      <c r="I129" s="825"/>
      <c r="J129" s="825"/>
      <c r="K129" s="825"/>
      <c r="L129" s="460"/>
      <c r="M129" s="460"/>
      <c r="N129" s="460"/>
      <c r="O129" s="460"/>
      <c r="P129" s="460"/>
      <c r="Q129" s="460"/>
      <c r="R129" s="460"/>
      <c r="S129" s="460"/>
      <c r="T129" s="460"/>
      <c r="U129" s="460"/>
      <c r="V129" s="460"/>
      <c r="W129" s="460"/>
    </row>
    <row r="130" spans="1:23" ht="68">
      <c r="B130" s="483">
        <v>143</v>
      </c>
      <c r="C130" s="484"/>
      <c r="D130" s="485" t="s">
        <v>233</v>
      </c>
      <c r="E130" s="486" t="s">
        <v>1872</v>
      </c>
      <c r="F130" s="441" t="s">
        <v>727</v>
      </c>
      <c r="G130" s="465" t="s">
        <v>726</v>
      </c>
      <c r="H130" s="465" t="s">
        <v>726</v>
      </c>
      <c r="I130" s="825"/>
      <c r="J130" s="825"/>
      <c r="K130" s="825"/>
      <c r="L130" s="460"/>
      <c r="M130" s="460"/>
      <c r="N130" s="460"/>
      <c r="O130" s="460"/>
      <c r="P130" s="460"/>
      <c r="Q130" s="460"/>
      <c r="R130" s="460"/>
      <c r="S130" s="460"/>
      <c r="T130" s="460"/>
      <c r="U130" s="460"/>
      <c r="V130" s="460"/>
      <c r="W130" s="460"/>
    </row>
    <row r="131" spans="1:23" ht="29">
      <c r="A131" s="158"/>
      <c r="B131" s="483">
        <v>144</v>
      </c>
      <c r="C131" s="484"/>
      <c r="D131" s="485"/>
      <c r="E131" s="486"/>
      <c r="F131" s="441"/>
      <c r="G131" s="465"/>
      <c r="H131" s="465"/>
      <c r="I131" s="825"/>
      <c r="J131" s="825"/>
      <c r="K131" s="825"/>
      <c r="L131" s="460"/>
      <c r="M131" s="460"/>
      <c r="N131" s="460"/>
      <c r="O131" s="460"/>
      <c r="P131" s="460"/>
      <c r="Q131" s="460"/>
      <c r="R131" s="460"/>
      <c r="S131" s="460"/>
      <c r="T131" s="460"/>
      <c r="U131" s="460"/>
      <c r="V131" s="460"/>
      <c r="W131" s="460"/>
    </row>
    <row r="132" spans="1:23" ht="51">
      <c r="A132" s="159"/>
      <c r="B132" s="483">
        <v>145</v>
      </c>
      <c r="C132" s="484"/>
      <c r="D132" s="485" t="s">
        <v>234</v>
      </c>
      <c r="E132" s="486" t="s">
        <v>235</v>
      </c>
      <c r="F132" s="441" t="s">
        <v>725</v>
      </c>
      <c r="G132" s="465" t="s">
        <v>726</v>
      </c>
      <c r="H132" s="465" t="s">
        <v>726</v>
      </c>
      <c r="I132" s="825"/>
      <c r="J132" s="825"/>
      <c r="K132" s="825"/>
      <c r="L132" s="460"/>
      <c r="M132" s="460"/>
      <c r="N132" s="460"/>
      <c r="O132" s="460"/>
      <c r="P132" s="460"/>
      <c r="Q132" s="460"/>
      <c r="R132" s="460"/>
      <c r="S132" s="460"/>
      <c r="T132" s="460"/>
      <c r="U132" s="460"/>
      <c r="V132" s="460"/>
      <c r="W132" s="460"/>
    </row>
    <row r="133" spans="1:23" ht="68">
      <c r="A133" s="1055"/>
      <c r="B133" s="483">
        <v>146</v>
      </c>
      <c r="C133" s="484"/>
      <c r="D133" s="485" t="s">
        <v>236</v>
      </c>
      <c r="E133" s="486" t="s">
        <v>1873</v>
      </c>
      <c r="F133" s="441" t="s">
        <v>727</v>
      </c>
      <c r="G133" s="465" t="s">
        <v>726</v>
      </c>
      <c r="H133" s="465" t="s">
        <v>726</v>
      </c>
      <c r="I133" s="825"/>
      <c r="J133" s="825"/>
      <c r="K133" s="825"/>
      <c r="L133" s="460"/>
      <c r="M133" s="460"/>
      <c r="N133" s="460"/>
      <c r="O133" s="460"/>
      <c r="P133" s="460"/>
      <c r="Q133" s="460"/>
      <c r="R133" s="460"/>
      <c r="S133" s="460"/>
      <c r="T133" s="460"/>
      <c r="U133" s="460"/>
      <c r="V133" s="460"/>
      <c r="W133" s="460"/>
    </row>
    <row r="134" spans="1:23" ht="51">
      <c r="A134" s="1055"/>
      <c r="B134" s="483">
        <v>147</v>
      </c>
      <c r="C134" s="484"/>
      <c r="D134" s="485" t="s">
        <v>237</v>
      </c>
      <c r="E134" s="464" t="s">
        <v>1899</v>
      </c>
      <c r="F134" s="441" t="s">
        <v>728</v>
      </c>
      <c r="G134" s="465" t="s">
        <v>726</v>
      </c>
      <c r="H134" s="465" t="s">
        <v>726</v>
      </c>
      <c r="I134" s="825"/>
      <c r="J134" s="825"/>
      <c r="K134" s="825"/>
      <c r="L134" s="460"/>
      <c r="M134" s="460"/>
      <c r="N134" s="460"/>
      <c r="O134" s="460"/>
      <c r="P134" s="460"/>
      <c r="Q134" s="460"/>
      <c r="R134" s="460"/>
      <c r="S134" s="460"/>
      <c r="T134" s="460"/>
      <c r="U134" s="460"/>
      <c r="V134" s="460"/>
      <c r="W134" s="460"/>
    </row>
    <row r="135" spans="1:23" ht="29">
      <c r="A135" s="1055"/>
      <c r="B135" s="483">
        <v>148</v>
      </c>
      <c r="C135" s="484"/>
      <c r="D135" s="485"/>
      <c r="E135" s="464"/>
      <c r="F135" s="441"/>
      <c r="G135" s="465"/>
      <c r="H135" s="465"/>
      <c r="I135" s="825"/>
      <c r="J135" s="825"/>
      <c r="K135" s="825"/>
      <c r="L135" s="460"/>
      <c r="M135" s="460"/>
      <c r="N135" s="460"/>
      <c r="O135" s="460"/>
      <c r="P135" s="460"/>
      <c r="Q135" s="460"/>
      <c r="R135" s="460"/>
      <c r="S135" s="460"/>
      <c r="T135" s="460"/>
      <c r="U135" s="460"/>
      <c r="V135" s="460"/>
      <c r="W135" s="460"/>
    </row>
    <row r="136" spans="1:23" ht="51">
      <c r="A136" s="1055"/>
      <c r="B136" s="483">
        <v>149</v>
      </c>
      <c r="C136" s="484"/>
      <c r="D136" s="485" t="s">
        <v>239</v>
      </c>
      <c r="E136" s="486" t="s">
        <v>240</v>
      </c>
      <c r="F136" s="441" t="s">
        <v>725</v>
      </c>
      <c r="G136" s="465" t="s">
        <v>726</v>
      </c>
      <c r="H136" s="465" t="s">
        <v>726</v>
      </c>
      <c r="I136" s="825"/>
      <c r="J136" s="825"/>
      <c r="K136" s="825"/>
      <c r="L136" s="460"/>
      <c r="M136" s="460"/>
      <c r="N136" s="460"/>
      <c r="O136" s="460"/>
      <c r="P136" s="460"/>
      <c r="Q136" s="460"/>
      <c r="R136" s="460"/>
      <c r="S136" s="460"/>
      <c r="T136" s="460"/>
      <c r="U136" s="460"/>
      <c r="V136" s="460"/>
      <c r="W136" s="460"/>
    </row>
    <row r="137" spans="1:23" ht="68">
      <c r="A137" s="1055"/>
      <c r="B137" s="483">
        <v>150</v>
      </c>
      <c r="C137" s="484"/>
      <c r="D137" s="485" t="s">
        <v>241</v>
      </c>
      <c r="E137" s="486" t="s">
        <v>1874</v>
      </c>
      <c r="F137" s="441" t="s">
        <v>727</v>
      </c>
      <c r="G137" s="465" t="s">
        <v>726</v>
      </c>
      <c r="H137" s="465" t="s">
        <v>726</v>
      </c>
      <c r="I137" s="825"/>
      <c r="J137" s="825"/>
      <c r="K137" s="825"/>
      <c r="L137" s="460"/>
      <c r="M137" s="460"/>
      <c r="N137" s="460"/>
      <c r="O137" s="460"/>
      <c r="P137" s="460"/>
      <c r="Q137" s="460"/>
      <c r="R137" s="460"/>
      <c r="S137" s="460"/>
      <c r="T137" s="460"/>
      <c r="U137" s="460"/>
      <c r="V137" s="460"/>
      <c r="W137" s="460"/>
    </row>
    <row r="138" spans="1:23" ht="51">
      <c r="A138" s="1055"/>
      <c r="B138" s="483">
        <v>151</v>
      </c>
      <c r="C138" s="484"/>
      <c r="D138" s="485" t="s">
        <v>237</v>
      </c>
      <c r="E138" s="464" t="s">
        <v>1900</v>
      </c>
      <c r="F138" s="441" t="s">
        <v>728</v>
      </c>
      <c r="G138" s="465" t="s">
        <v>726</v>
      </c>
      <c r="H138" s="465" t="s">
        <v>726</v>
      </c>
      <c r="I138" s="460"/>
      <c r="J138" s="460"/>
      <c r="K138" s="460"/>
      <c r="L138" s="460"/>
      <c r="M138" s="460"/>
      <c r="N138" s="460"/>
      <c r="O138" s="460"/>
      <c r="P138" s="460"/>
      <c r="Q138" s="460"/>
      <c r="R138" s="460"/>
      <c r="S138" s="460"/>
      <c r="T138" s="460"/>
      <c r="U138" s="460"/>
      <c r="V138" s="460"/>
      <c r="W138" s="460"/>
    </row>
    <row r="139" spans="1:23" ht="29">
      <c r="A139" s="1055"/>
      <c r="B139" s="483">
        <v>152</v>
      </c>
      <c r="C139" s="484"/>
      <c r="D139" s="485"/>
      <c r="E139" s="464"/>
      <c r="F139" s="441"/>
      <c r="G139" s="465"/>
      <c r="H139" s="465"/>
      <c r="I139" s="454"/>
      <c r="J139" s="454"/>
      <c r="K139" s="454"/>
      <c r="L139" s="454"/>
      <c r="M139" s="454"/>
      <c r="N139" s="454"/>
      <c r="O139" s="454"/>
      <c r="P139" s="825"/>
      <c r="Q139" s="825"/>
      <c r="R139" s="825"/>
      <c r="S139" s="825"/>
      <c r="T139" s="825"/>
      <c r="U139" s="825"/>
      <c r="V139" s="825"/>
      <c r="W139" s="825"/>
    </row>
    <row r="140" spans="1:23" ht="51">
      <c r="A140" s="1055"/>
      <c r="B140" s="483">
        <v>153</v>
      </c>
      <c r="C140" s="484"/>
      <c r="D140" s="485" t="s">
        <v>242</v>
      </c>
      <c r="E140" s="486" t="s">
        <v>243</v>
      </c>
      <c r="F140" s="441" t="s">
        <v>725</v>
      </c>
      <c r="G140" s="465" t="s">
        <v>726</v>
      </c>
      <c r="H140" s="465" t="s">
        <v>726</v>
      </c>
      <c r="I140" s="454"/>
      <c r="J140" s="454"/>
      <c r="K140" s="454"/>
      <c r="L140" s="454"/>
      <c r="M140" s="454"/>
      <c r="N140" s="454"/>
      <c r="O140" s="454"/>
      <c r="P140" s="825"/>
      <c r="Q140" s="825"/>
      <c r="R140" s="825"/>
      <c r="S140" s="825"/>
      <c r="T140" s="825"/>
      <c r="U140" s="825"/>
      <c r="V140" s="825"/>
      <c r="W140" s="825"/>
    </row>
    <row r="141" spans="1:23" ht="68">
      <c r="A141" s="1055"/>
      <c r="B141" s="483">
        <v>154</v>
      </c>
      <c r="C141" s="484"/>
      <c r="D141" s="485" t="s">
        <v>244</v>
      </c>
      <c r="E141" s="486" t="s">
        <v>1875</v>
      </c>
      <c r="F141" s="441" t="s">
        <v>727</v>
      </c>
      <c r="G141" s="465" t="s">
        <v>726</v>
      </c>
      <c r="H141" s="465" t="s">
        <v>726</v>
      </c>
      <c r="I141" s="454"/>
      <c r="J141" s="454"/>
      <c r="K141" s="454"/>
      <c r="L141" s="454"/>
      <c r="M141" s="454"/>
      <c r="N141" s="454"/>
      <c r="O141" s="454"/>
      <c r="P141" s="825"/>
      <c r="Q141" s="825"/>
      <c r="R141" s="825"/>
      <c r="S141" s="825"/>
      <c r="T141" s="825"/>
      <c r="U141" s="825"/>
      <c r="V141" s="825"/>
      <c r="W141" s="825"/>
    </row>
    <row r="142" spans="1:23" ht="29">
      <c r="A142" s="1055"/>
      <c r="B142" s="483">
        <v>155</v>
      </c>
      <c r="C142" s="484"/>
      <c r="D142" s="485"/>
      <c r="E142" s="464"/>
      <c r="F142" s="441"/>
      <c r="G142" s="465"/>
      <c r="H142" s="465"/>
      <c r="I142" s="454"/>
      <c r="J142" s="454"/>
      <c r="K142" s="454"/>
      <c r="L142" s="454"/>
      <c r="M142" s="454"/>
      <c r="N142" s="454"/>
      <c r="O142" s="454"/>
      <c r="P142" s="825"/>
      <c r="Q142" s="825"/>
      <c r="R142" s="825"/>
      <c r="S142" s="825"/>
      <c r="T142" s="825"/>
      <c r="U142" s="825"/>
      <c r="V142" s="825"/>
      <c r="W142" s="825"/>
    </row>
    <row r="143" spans="1:23" ht="51">
      <c r="A143" s="1055"/>
      <c r="B143" s="483">
        <v>156</v>
      </c>
      <c r="C143" s="484"/>
      <c r="D143" s="485" t="s">
        <v>245</v>
      </c>
      <c r="E143" s="486" t="s">
        <v>246</v>
      </c>
      <c r="F143" s="441" t="s">
        <v>725</v>
      </c>
      <c r="G143" s="465" t="s">
        <v>726</v>
      </c>
      <c r="H143" s="465" t="s">
        <v>726</v>
      </c>
      <c r="I143" s="454"/>
      <c r="J143" s="454"/>
      <c r="K143" s="454"/>
      <c r="L143" s="454"/>
      <c r="M143" s="454"/>
      <c r="N143" s="454"/>
      <c r="O143" s="454"/>
      <c r="P143" s="825"/>
      <c r="Q143" s="825"/>
      <c r="R143" s="825"/>
      <c r="S143" s="825"/>
      <c r="T143" s="825"/>
      <c r="U143" s="825"/>
      <c r="V143" s="825"/>
      <c r="W143" s="825"/>
    </row>
    <row r="144" spans="1:23" ht="68">
      <c r="A144" s="159"/>
      <c r="B144" s="483">
        <v>157</v>
      </c>
      <c r="C144" s="484"/>
      <c r="D144" s="485" t="s">
        <v>247</v>
      </c>
      <c r="E144" s="486" t="s">
        <v>1876</v>
      </c>
      <c r="F144" s="441" t="s">
        <v>727</v>
      </c>
      <c r="G144" s="465" t="s">
        <v>726</v>
      </c>
      <c r="H144" s="465" t="s">
        <v>726</v>
      </c>
      <c r="I144" s="454"/>
      <c r="J144" s="454"/>
      <c r="K144" s="454"/>
      <c r="L144" s="454"/>
      <c r="M144" s="454"/>
      <c r="N144" s="454"/>
      <c r="O144" s="454"/>
      <c r="P144" s="825"/>
      <c r="Q144" s="825"/>
      <c r="R144" s="825"/>
      <c r="S144" s="825"/>
      <c r="T144" s="825"/>
      <c r="U144" s="825"/>
      <c r="V144" s="825"/>
      <c r="W144" s="825"/>
    </row>
    <row r="145" spans="1:23" ht="29">
      <c r="A145" s="1055"/>
      <c r="B145" s="483">
        <v>158</v>
      </c>
      <c r="C145" s="484"/>
      <c r="D145" s="485"/>
      <c r="E145" s="464"/>
      <c r="F145" s="441"/>
      <c r="G145" s="465"/>
      <c r="H145" s="465"/>
      <c r="I145" s="454"/>
      <c r="J145" s="454"/>
      <c r="K145" s="454"/>
      <c r="L145" s="454"/>
      <c r="M145" s="454"/>
      <c r="N145" s="454"/>
      <c r="O145" s="454"/>
      <c r="P145" s="825"/>
      <c r="Q145" s="825"/>
      <c r="R145" s="825"/>
      <c r="S145" s="825"/>
      <c r="T145" s="825"/>
      <c r="U145" s="825"/>
      <c r="V145" s="825"/>
      <c r="W145" s="825"/>
    </row>
    <row r="146" spans="1:23" ht="51">
      <c r="A146" s="1055"/>
      <c r="B146" s="483">
        <v>159</v>
      </c>
      <c r="C146" s="484"/>
      <c r="D146" s="485" t="s">
        <v>248</v>
      </c>
      <c r="E146" s="486" t="s">
        <v>249</v>
      </c>
      <c r="F146" s="441" t="s">
        <v>725</v>
      </c>
      <c r="G146" s="465" t="s">
        <v>726</v>
      </c>
      <c r="H146" s="465" t="s">
        <v>726</v>
      </c>
      <c r="I146" s="454"/>
      <c r="J146" s="454"/>
      <c r="K146" s="454"/>
      <c r="L146" s="454"/>
      <c r="M146" s="454"/>
      <c r="N146" s="454"/>
      <c r="O146" s="454"/>
      <c r="P146" s="825"/>
      <c r="Q146" s="825"/>
      <c r="R146" s="825"/>
      <c r="S146" s="825"/>
      <c r="T146" s="825"/>
      <c r="U146" s="825"/>
      <c r="V146" s="825"/>
      <c r="W146" s="825"/>
    </row>
    <row r="147" spans="1:23" ht="68">
      <c r="A147" s="1055"/>
      <c r="B147" s="483">
        <v>160</v>
      </c>
      <c r="C147" s="484"/>
      <c r="D147" s="485" t="s">
        <v>250</v>
      </c>
      <c r="E147" s="486" t="s">
        <v>1877</v>
      </c>
      <c r="F147" s="441" t="s">
        <v>727</v>
      </c>
      <c r="G147" s="465" t="s">
        <v>726</v>
      </c>
      <c r="H147" s="465" t="s">
        <v>726</v>
      </c>
      <c r="I147" s="454"/>
      <c r="J147" s="454"/>
      <c r="K147" s="454"/>
      <c r="L147" s="454"/>
      <c r="M147" s="454"/>
      <c r="N147" s="454"/>
      <c r="O147" s="454"/>
      <c r="P147" s="825"/>
      <c r="Q147" s="825"/>
      <c r="R147" s="825"/>
      <c r="S147" s="825"/>
      <c r="T147" s="825"/>
      <c r="U147" s="825"/>
      <c r="V147" s="825"/>
      <c r="W147" s="825"/>
    </row>
    <row r="148" spans="1:23" ht="29">
      <c r="A148" s="1055"/>
      <c r="B148" s="483">
        <v>161</v>
      </c>
      <c r="C148" s="484"/>
      <c r="D148" s="485"/>
      <c r="E148" s="486"/>
      <c r="F148" s="441"/>
      <c r="G148" s="465"/>
      <c r="H148" s="465"/>
      <c r="I148" s="454"/>
      <c r="J148" s="454"/>
      <c r="K148" s="454"/>
      <c r="L148" s="454"/>
      <c r="M148" s="454"/>
      <c r="N148" s="454"/>
      <c r="O148" s="454"/>
      <c r="P148" s="825"/>
      <c r="Q148" s="825"/>
      <c r="R148" s="825"/>
      <c r="S148" s="825"/>
      <c r="T148" s="825"/>
      <c r="U148" s="825"/>
      <c r="V148" s="825"/>
      <c r="W148" s="825"/>
    </row>
    <row r="149" spans="1:23" ht="51">
      <c r="A149" s="1055"/>
      <c r="B149" s="483">
        <v>162</v>
      </c>
      <c r="C149" s="484"/>
      <c r="D149" s="485" t="s">
        <v>251</v>
      </c>
      <c r="E149" s="486" t="s">
        <v>252</v>
      </c>
      <c r="F149" s="441" t="s">
        <v>725</v>
      </c>
      <c r="G149" s="465" t="s">
        <v>726</v>
      </c>
      <c r="H149" s="465" t="s">
        <v>726</v>
      </c>
      <c r="I149" s="454"/>
      <c r="J149" s="454"/>
      <c r="K149" s="454"/>
      <c r="L149" s="454"/>
      <c r="M149" s="454"/>
      <c r="N149" s="454"/>
      <c r="O149" s="454"/>
      <c r="P149" s="825"/>
      <c r="Q149" s="825"/>
      <c r="R149" s="825"/>
      <c r="S149" s="825"/>
      <c r="T149" s="825"/>
      <c r="U149" s="825"/>
      <c r="V149" s="825"/>
      <c r="W149" s="825"/>
    </row>
    <row r="150" spans="1:23" ht="68">
      <c r="A150" s="1055"/>
      <c r="B150" s="483">
        <v>163</v>
      </c>
      <c r="C150" s="484"/>
      <c r="D150" s="485" t="s">
        <v>253</v>
      </c>
      <c r="E150" s="486" t="s">
        <v>1878</v>
      </c>
      <c r="F150" s="441" t="s">
        <v>727</v>
      </c>
      <c r="G150" s="465" t="s">
        <v>726</v>
      </c>
      <c r="H150" s="465" t="s">
        <v>726</v>
      </c>
      <c r="I150" s="454"/>
      <c r="J150" s="454"/>
      <c r="K150" s="454"/>
      <c r="L150" s="454"/>
      <c r="M150" s="454"/>
      <c r="N150" s="454"/>
      <c r="O150" s="454"/>
      <c r="P150" s="825"/>
      <c r="Q150" s="825"/>
      <c r="R150" s="825"/>
      <c r="S150" s="825"/>
      <c r="T150" s="825"/>
      <c r="U150" s="825"/>
      <c r="V150" s="825"/>
      <c r="W150" s="825"/>
    </row>
    <row r="151" spans="1:23" s="490" customFormat="1" ht="29">
      <c r="A151" s="1055"/>
      <c r="B151" s="487">
        <v>164</v>
      </c>
      <c r="C151" s="419" t="s">
        <v>729</v>
      </c>
      <c r="D151" s="487"/>
      <c r="E151" s="487"/>
      <c r="F151" s="487"/>
      <c r="G151" s="487"/>
      <c r="H151" s="421"/>
      <c r="I151" s="421"/>
      <c r="J151" s="488"/>
      <c r="K151" s="488"/>
      <c r="L151" s="488"/>
      <c r="M151" s="488"/>
      <c r="N151" s="488"/>
      <c r="O151" s="488"/>
      <c r="P151" s="489"/>
      <c r="Q151" s="489"/>
      <c r="R151" s="489"/>
      <c r="S151" s="489"/>
      <c r="T151" s="489"/>
      <c r="U151" s="489"/>
      <c r="V151" s="489"/>
      <c r="W151" s="489"/>
    </row>
    <row r="152" spans="1:23" s="457" customFormat="1" ht="64">
      <c r="A152" s="1055"/>
      <c r="B152" s="483">
        <v>165</v>
      </c>
      <c r="C152" s="484"/>
      <c r="D152" s="485" t="s">
        <v>255</v>
      </c>
      <c r="E152" s="464" t="s">
        <v>730</v>
      </c>
      <c r="F152" s="441" t="s">
        <v>731</v>
      </c>
      <c r="G152" s="456" t="s">
        <v>732</v>
      </c>
      <c r="H152" s="456" t="s">
        <v>733</v>
      </c>
      <c r="I152" s="456"/>
      <c r="J152" s="456"/>
      <c r="K152" s="456"/>
      <c r="L152" s="456"/>
      <c r="M152" s="456"/>
      <c r="N152" s="456"/>
      <c r="O152" s="456"/>
      <c r="P152" s="826"/>
      <c r="Q152" s="826"/>
      <c r="R152" s="826"/>
      <c r="S152" s="826"/>
      <c r="T152" s="826"/>
      <c r="U152" s="826"/>
      <c r="V152" s="826"/>
      <c r="W152" s="826"/>
    </row>
    <row r="153" spans="1:23" s="457" customFormat="1" ht="51">
      <c r="A153" s="1055"/>
      <c r="B153" s="483">
        <v>166</v>
      </c>
      <c r="C153" s="484"/>
      <c r="D153" s="485" t="s">
        <v>257</v>
      </c>
      <c r="E153" s="486" t="s">
        <v>303</v>
      </c>
      <c r="F153" s="441" t="s">
        <v>734</v>
      </c>
      <c r="G153" s="456" t="s">
        <v>735</v>
      </c>
      <c r="H153" s="456" t="s">
        <v>735</v>
      </c>
      <c r="I153" s="456"/>
      <c r="J153" s="456"/>
      <c r="K153" s="456"/>
      <c r="L153" s="456"/>
      <c r="M153" s="456"/>
      <c r="N153" s="456"/>
      <c r="O153" s="456"/>
      <c r="P153" s="826"/>
      <c r="Q153" s="826"/>
      <c r="R153" s="826"/>
      <c r="S153" s="826"/>
      <c r="T153" s="826"/>
      <c r="U153" s="826"/>
      <c r="V153" s="826"/>
      <c r="W153" s="826"/>
    </row>
    <row r="154" spans="1:23" s="457" customFormat="1" ht="51">
      <c r="A154" s="1055"/>
      <c r="B154" s="483">
        <v>167</v>
      </c>
      <c r="C154" s="484"/>
      <c r="D154" s="485" t="s">
        <v>259</v>
      </c>
      <c r="E154" s="464" t="s">
        <v>260</v>
      </c>
      <c r="F154" s="441" t="s">
        <v>736</v>
      </c>
      <c r="G154" s="456" t="s">
        <v>735</v>
      </c>
      <c r="H154" s="456" t="s">
        <v>735</v>
      </c>
      <c r="I154" s="456"/>
      <c r="J154" s="456"/>
      <c r="K154" s="456"/>
      <c r="L154" s="456"/>
      <c r="M154" s="456"/>
      <c r="N154" s="456"/>
      <c r="O154" s="456"/>
      <c r="P154" s="826"/>
      <c r="Q154" s="826"/>
      <c r="R154" s="826"/>
      <c r="S154" s="826"/>
      <c r="T154" s="826"/>
      <c r="U154" s="826"/>
      <c r="V154" s="826"/>
      <c r="W154" s="826"/>
    </row>
    <row r="155" spans="1:23" s="457" customFormat="1" ht="29">
      <c r="A155" s="1055"/>
      <c r="B155" s="483">
        <v>168</v>
      </c>
      <c r="C155" s="484"/>
      <c r="D155" s="485"/>
      <c r="E155" s="464"/>
      <c r="F155" s="441"/>
      <c r="G155" s="456"/>
      <c r="H155" s="456"/>
      <c r="I155" s="456"/>
      <c r="J155" s="456"/>
      <c r="K155" s="456"/>
      <c r="L155" s="456"/>
      <c r="M155" s="456"/>
      <c r="N155" s="456"/>
      <c r="O155" s="456"/>
      <c r="P155" s="826"/>
      <c r="Q155" s="826"/>
      <c r="R155" s="826"/>
      <c r="S155" s="826"/>
      <c r="T155" s="826"/>
      <c r="U155" s="826"/>
      <c r="V155" s="826"/>
      <c r="W155" s="826"/>
    </row>
    <row r="156" spans="1:23" s="457" customFormat="1" ht="80">
      <c r="A156" s="1055"/>
      <c r="B156" s="483">
        <v>169</v>
      </c>
      <c r="C156" s="484"/>
      <c r="D156" s="485" t="s">
        <v>261</v>
      </c>
      <c r="E156" s="464" t="s">
        <v>737</v>
      </c>
      <c r="F156" s="441" t="s">
        <v>731</v>
      </c>
      <c r="G156" s="456" t="s">
        <v>738</v>
      </c>
      <c r="H156" s="456" t="s">
        <v>735</v>
      </c>
      <c r="I156" s="456"/>
      <c r="J156" s="456"/>
      <c r="K156" s="456"/>
      <c r="L156" s="456"/>
      <c r="M156" s="456"/>
      <c r="N156" s="456"/>
      <c r="O156" s="456"/>
      <c r="P156" s="826"/>
      <c r="Q156" s="826"/>
      <c r="R156" s="826"/>
      <c r="S156" s="826"/>
      <c r="T156" s="826"/>
      <c r="U156" s="826"/>
      <c r="V156" s="826"/>
      <c r="W156" s="826"/>
    </row>
    <row r="157" spans="1:23" s="457" customFormat="1" ht="51">
      <c r="A157" s="1055"/>
      <c r="B157" s="483">
        <v>170</v>
      </c>
      <c r="C157" s="484"/>
      <c r="D157" s="485" t="s">
        <v>263</v>
      </c>
      <c r="E157" s="486" t="s">
        <v>307</v>
      </c>
      <c r="F157" s="441" t="s">
        <v>734</v>
      </c>
      <c r="G157" s="456" t="s">
        <v>739</v>
      </c>
      <c r="H157" s="456" t="s">
        <v>735</v>
      </c>
      <c r="I157" s="456"/>
      <c r="J157" s="456"/>
      <c r="K157" s="456"/>
      <c r="L157" s="456"/>
      <c r="M157" s="456"/>
      <c r="N157" s="456"/>
      <c r="O157" s="456"/>
      <c r="P157" s="826"/>
      <c r="Q157" s="826"/>
      <c r="R157" s="826"/>
      <c r="S157" s="826"/>
      <c r="T157" s="826"/>
      <c r="U157" s="826"/>
      <c r="V157" s="826"/>
      <c r="W157" s="826"/>
    </row>
    <row r="158" spans="1:23" s="457" customFormat="1" ht="51">
      <c r="A158" s="1055"/>
      <c r="B158" s="483">
        <v>171</v>
      </c>
      <c r="C158" s="484"/>
      <c r="D158" s="485" t="s">
        <v>265</v>
      </c>
      <c r="E158" s="464" t="s">
        <v>266</v>
      </c>
      <c r="F158" s="441" t="s">
        <v>740</v>
      </c>
      <c r="G158" s="456" t="s">
        <v>739</v>
      </c>
      <c r="H158" s="456" t="s">
        <v>735</v>
      </c>
      <c r="I158" s="456"/>
      <c r="J158" s="456"/>
      <c r="K158" s="456"/>
      <c r="L158" s="456"/>
      <c r="M158" s="456"/>
      <c r="N158" s="456"/>
      <c r="O158" s="456"/>
      <c r="P158" s="826"/>
      <c r="Q158" s="826"/>
      <c r="R158" s="826"/>
      <c r="S158" s="826"/>
      <c r="T158" s="826"/>
      <c r="U158" s="826"/>
      <c r="V158" s="826"/>
      <c r="W158" s="826"/>
    </row>
    <row r="159" spans="1:23" s="492" customFormat="1" ht="320">
      <c r="A159" s="1055"/>
      <c r="B159" s="410">
        <v>172</v>
      </c>
      <c r="C159" s="411" t="s">
        <v>267</v>
      </c>
      <c r="D159" s="409"/>
      <c r="E159" s="409"/>
      <c r="F159" s="409"/>
      <c r="G159" s="413" t="s">
        <v>741</v>
      </c>
      <c r="H159" s="838" t="s">
        <v>742</v>
      </c>
      <c r="I159" s="838" t="s">
        <v>743</v>
      </c>
      <c r="J159" s="491"/>
      <c r="K159" s="491"/>
      <c r="L159" s="491"/>
      <c r="M159" s="491"/>
      <c r="N159" s="491"/>
      <c r="O159" s="491"/>
      <c r="P159" s="839"/>
      <c r="Q159" s="839"/>
      <c r="R159" s="839"/>
      <c r="S159" s="839"/>
      <c r="T159" s="839"/>
      <c r="U159" s="839"/>
      <c r="V159" s="839"/>
      <c r="W159" s="839"/>
    </row>
    <row r="160" spans="1:23" s="494" customFormat="1" ht="29">
      <c r="A160" s="1055"/>
      <c r="B160" s="418">
        <v>173</v>
      </c>
      <c r="C160" s="419" t="s">
        <v>268</v>
      </c>
      <c r="D160" s="420"/>
      <c r="E160" s="420"/>
      <c r="F160" s="420"/>
      <c r="G160" s="420"/>
      <c r="H160" s="420"/>
      <c r="I160" s="420"/>
      <c r="J160" s="493"/>
      <c r="K160" s="493"/>
      <c r="L160" s="493"/>
      <c r="M160" s="493"/>
      <c r="N160" s="493"/>
      <c r="O160" s="493"/>
      <c r="P160" s="840"/>
      <c r="Q160" s="840"/>
      <c r="R160" s="840"/>
      <c r="S160" s="840"/>
      <c r="T160" s="840"/>
      <c r="U160" s="840"/>
      <c r="V160" s="840"/>
      <c r="W160" s="840"/>
    </row>
    <row r="161" spans="1:23" ht="51">
      <c r="A161" s="159"/>
      <c r="B161" s="474">
        <v>174</v>
      </c>
      <c r="C161" s="475"/>
      <c r="D161" s="476" t="s">
        <v>269</v>
      </c>
      <c r="E161" s="486" t="s">
        <v>270</v>
      </c>
      <c r="F161" s="441" t="s">
        <v>744</v>
      </c>
      <c r="G161" s="465" t="s">
        <v>745</v>
      </c>
      <c r="H161" s="465" t="s">
        <v>745</v>
      </c>
      <c r="I161" s="456"/>
      <c r="J161" s="454"/>
      <c r="K161" s="454"/>
      <c r="L161" s="454"/>
      <c r="M161" s="454"/>
      <c r="N161" s="454"/>
      <c r="O161" s="454"/>
      <c r="P161" s="825"/>
      <c r="Q161" s="825"/>
      <c r="R161" s="825"/>
      <c r="S161" s="825"/>
      <c r="T161" s="825"/>
      <c r="U161" s="825"/>
      <c r="V161" s="825"/>
      <c r="W161" s="825"/>
    </row>
    <row r="162" spans="1:23" ht="68">
      <c r="A162" s="1055"/>
      <c r="B162" s="474">
        <v>175</v>
      </c>
      <c r="C162" s="475"/>
      <c r="D162" s="476" t="s">
        <v>271</v>
      </c>
      <c r="E162" s="486" t="s">
        <v>1879</v>
      </c>
      <c r="F162" s="441" t="s">
        <v>746</v>
      </c>
      <c r="G162" s="465" t="s">
        <v>745</v>
      </c>
      <c r="H162" s="465" t="s">
        <v>745</v>
      </c>
      <c r="I162" s="456"/>
      <c r="J162" s="454"/>
      <c r="K162" s="454"/>
      <c r="L162" s="454"/>
      <c r="M162" s="454"/>
      <c r="N162" s="454"/>
      <c r="O162" s="454"/>
      <c r="P162" s="825"/>
      <c r="Q162" s="825"/>
      <c r="R162" s="825"/>
      <c r="S162" s="825"/>
      <c r="T162" s="825"/>
      <c r="U162" s="825"/>
      <c r="V162" s="825"/>
      <c r="W162" s="825"/>
    </row>
    <row r="163" spans="1:23" ht="29">
      <c r="A163" s="1055"/>
      <c r="B163" s="474">
        <v>176</v>
      </c>
      <c r="C163" s="475"/>
      <c r="D163" s="476"/>
      <c r="E163" s="464"/>
      <c r="F163" s="455"/>
      <c r="G163" s="465"/>
      <c r="H163" s="465"/>
      <c r="I163" s="456"/>
      <c r="J163" s="454"/>
      <c r="K163" s="454"/>
      <c r="L163" s="454"/>
      <c r="M163" s="454"/>
      <c r="N163" s="454"/>
      <c r="O163" s="454"/>
      <c r="P163" s="825"/>
      <c r="Q163" s="825"/>
      <c r="R163" s="825"/>
      <c r="S163" s="825"/>
      <c r="T163" s="825"/>
      <c r="U163" s="825"/>
      <c r="V163" s="825"/>
      <c r="W163" s="825"/>
    </row>
    <row r="164" spans="1:23" ht="51">
      <c r="A164" s="159"/>
      <c r="B164" s="474">
        <v>177</v>
      </c>
      <c r="C164" s="475"/>
      <c r="D164" s="476" t="s">
        <v>272</v>
      </c>
      <c r="E164" s="486" t="s">
        <v>273</v>
      </c>
      <c r="F164" s="441" t="s">
        <v>744</v>
      </c>
      <c r="G164" s="465" t="s">
        <v>745</v>
      </c>
      <c r="H164" s="465" t="s">
        <v>745</v>
      </c>
      <c r="I164" s="456"/>
      <c r="J164" s="454"/>
      <c r="K164" s="454"/>
      <c r="L164" s="454"/>
      <c r="M164" s="454"/>
      <c r="N164" s="454"/>
      <c r="O164" s="454"/>
      <c r="P164" s="825"/>
      <c r="Q164" s="825"/>
      <c r="R164" s="825"/>
      <c r="S164" s="825"/>
      <c r="T164" s="825"/>
      <c r="U164" s="825"/>
      <c r="V164" s="825"/>
      <c r="W164" s="825"/>
    </row>
    <row r="165" spans="1:23" ht="68">
      <c r="A165" s="1055"/>
      <c r="B165" s="474">
        <v>178</v>
      </c>
      <c r="C165" s="475"/>
      <c r="D165" s="476" t="s">
        <v>274</v>
      </c>
      <c r="E165" s="486" t="s">
        <v>1880</v>
      </c>
      <c r="F165" s="441" t="s">
        <v>746</v>
      </c>
      <c r="G165" s="465" t="s">
        <v>745</v>
      </c>
      <c r="H165" s="465" t="s">
        <v>745</v>
      </c>
      <c r="I165" s="456"/>
      <c r="J165" s="454"/>
      <c r="K165" s="454"/>
      <c r="L165" s="454"/>
      <c r="M165" s="454"/>
      <c r="N165" s="454"/>
      <c r="O165" s="454"/>
      <c r="P165" s="825"/>
      <c r="Q165" s="825"/>
      <c r="R165" s="825"/>
      <c r="S165" s="825"/>
      <c r="T165" s="825"/>
      <c r="U165" s="825"/>
      <c r="V165" s="825"/>
      <c r="W165" s="825"/>
    </row>
    <row r="166" spans="1:23" ht="29">
      <c r="A166" s="1055"/>
      <c r="B166" s="474">
        <v>179</v>
      </c>
      <c r="C166" s="475"/>
      <c r="D166" s="476"/>
      <c r="E166" s="464"/>
      <c r="F166" s="455"/>
      <c r="G166" s="465"/>
      <c r="H166" s="465"/>
      <c r="I166" s="456"/>
      <c r="J166" s="454"/>
      <c r="K166" s="454"/>
      <c r="L166" s="454"/>
      <c r="M166" s="454"/>
      <c r="N166" s="454"/>
      <c r="O166" s="454"/>
      <c r="P166" s="825"/>
      <c r="Q166" s="825"/>
      <c r="R166" s="825"/>
      <c r="S166" s="825"/>
      <c r="T166" s="825"/>
      <c r="U166" s="825"/>
      <c r="V166" s="825"/>
      <c r="W166" s="825"/>
    </row>
    <row r="167" spans="1:23" ht="51">
      <c r="A167" s="1055"/>
      <c r="B167" s="474">
        <v>180</v>
      </c>
      <c r="C167" s="475"/>
      <c r="D167" s="476" t="s">
        <v>275</v>
      </c>
      <c r="E167" s="486" t="s">
        <v>276</v>
      </c>
      <c r="F167" s="441" t="s">
        <v>744</v>
      </c>
      <c r="G167" s="465" t="s">
        <v>745</v>
      </c>
      <c r="H167" s="465" t="s">
        <v>745</v>
      </c>
      <c r="I167" s="456"/>
      <c r="J167" s="454"/>
      <c r="K167" s="454"/>
      <c r="L167" s="454"/>
      <c r="M167" s="454"/>
      <c r="N167" s="454"/>
      <c r="O167" s="454"/>
      <c r="P167" s="825"/>
      <c r="Q167" s="825"/>
      <c r="R167" s="825"/>
      <c r="S167" s="825"/>
      <c r="T167" s="825"/>
      <c r="U167" s="825"/>
      <c r="V167" s="825"/>
      <c r="W167" s="825"/>
    </row>
    <row r="168" spans="1:23" ht="68">
      <c r="A168" s="1055"/>
      <c r="B168" s="474">
        <v>181</v>
      </c>
      <c r="C168" s="475"/>
      <c r="D168" s="476" t="s">
        <v>277</v>
      </c>
      <c r="E168" s="486" t="s">
        <v>1881</v>
      </c>
      <c r="F168" s="441" t="s">
        <v>746</v>
      </c>
      <c r="G168" s="465" t="s">
        <v>745</v>
      </c>
      <c r="H168" s="465" t="s">
        <v>745</v>
      </c>
      <c r="I168" s="456"/>
      <c r="J168" s="454"/>
      <c r="K168" s="454"/>
      <c r="L168" s="454"/>
      <c r="M168" s="454"/>
      <c r="N168" s="454"/>
      <c r="O168" s="454"/>
      <c r="P168" s="825"/>
      <c r="Q168" s="825"/>
      <c r="R168" s="825"/>
      <c r="S168" s="825"/>
      <c r="T168" s="825"/>
      <c r="U168" s="825"/>
      <c r="V168" s="825"/>
      <c r="W168" s="825"/>
    </row>
    <row r="169" spans="1:23" ht="29">
      <c r="A169" s="1055"/>
      <c r="B169" s="474">
        <v>182</v>
      </c>
      <c r="C169" s="475"/>
      <c r="D169" s="476"/>
      <c r="E169" s="464"/>
      <c r="F169" s="455"/>
      <c r="G169" s="465"/>
      <c r="H169" s="465"/>
      <c r="I169" s="456"/>
      <c r="J169" s="454"/>
      <c r="K169" s="454"/>
      <c r="L169" s="454"/>
      <c r="M169" s="454"/>
      <c r="N169" s="454"/>
      <c r="O169" s="454"/>
      <c r="P169" s="825"/>
      <c r="Q169" s="825"/>
      <c r="R169" s="825"/>
      <c r="S169" s="825"/>
      <c r="T169" s="825"/>
      <c r="U169" s="825"/>
      <c r="V169" s="825"/>
      <c r="W169" s="825"/>
    </row>
    <row r="170" spans="1:23" ht="51">
      <c r="A170" s="1055"/>
      <c r="B170" s="474">
        <v>183</v>
      </c>
      <c r="C170" s="475"/>
      <c r="D170" s="476" t="s">
        <v>278</v>
      </c>
      <c r="E170" s="486" t="s">
        <v>279</v>
      </c>
      <c r="F170" s="441" t="s">
        <v>744</v>
      </c>
      <c r="G170" s="465" t="s">
        <v>745</v>
      </c>
      <c r="H170" s="465" t="s">
        <v>745</v>
      </c>
      <c r="I170" s="456"/>
      <c r="J170" s="454"/>
      <c r="K170" s="454"/>
      <c r="L170" s="454"/>
      <c r="M170" s="454"/>
      <c r="N170" s="454"/>
      <c r="O170" s="454"/>
      <c r="P170" s="825"/>
      <c r="Q170" s="825"/>
      <c r="R170" s="825"/>
      <c r="S170" s="825"/>
      <c r="T170" s="825"/>
      <c r="U170" s="825"/>
      <c r="V170" s="825"/>
      <c r="W170" s="825"/>
    </row>
    <row r="171" spans="1:23" ht="68">
      <c r="A171" s="1055"/>
      <c r="B171" s="474">
        <v>184</v>
      </c>
      <c r="C171" s="475"/>
      <c r="D171" s="476" t="s">
        <v>280</v>
      </c>
      <c r="E171" s="486" t="s">
        <v>1882</v>
      </c>
      <c r="F171" s="441" t="s">
        <v>746</v>
      </c>
      <c r="G171" s="465" t="s">
        <v>745</v>
      </c>
      <c r="H171" s="465" t="s">
        <v>745</v>
      </c>
      <c r="I171" s="456"/>
      <c r="J171" s="454"/>
      <c r="K171" s="454"/>
      <c r="L171" s="454"/>
      <c r="M171" s="454"/>
      <c r="N171" s="454"/>
      <c r="O171" s="454"/>
      <c r="P171" s="825"/>
      <c r="Q171" s="825"/>
      <c r="R171" s="825"/>
      <c r="S171" s="825"/>
      <c r="T171" s="825"/>
      <c r="U171" s="825"/>
      <c r="V171" s="825"/>
      <c r="W171" s="825"/>
    </row>
    <row r="172" spans="1:23" ht="29">
      <c r="A172" s="158"/>
      <c r="B172" s="474">
        <v>185</v>
      </c>
      <c r="C172" s="475"/>
      <c r="D172" s="476"/>
      <c r="E172" s="486"/>
      <c r="F172" s="441"/>
      <c r="G172" s="465"/>
      <c r="H172" s="465"/>
      <c r="I172" s="456"/>
      <c r="J172" s="454"/>
      <c r="K172" s="454"/>
      <c r="L172" s="454"/>
      <c r="M172" s="454"/>
      <c r="N172" s="454"/>
      <c r="O172" s="454"/>
      <c r="P172" s="825"/>
      <c r="Q172" s="825"/>
      <c r="R172" s="825"/>
      <c r="S172" s="825"/>
      <c r="T172" s="825"/>
      <c r="U172" s="825"/>
      <c r="V172" s="825"/>
      <c r="W172" s="825"/>
    </row>
    <row r="173" spans="1:23" ht="51">
      <c r="A173" s="159"/>
      <c r="B173" s="474">
        <v>186</v>
      </c>
      <c r="C173" s="475"/>
      <c r="D173" s="476" t="s">
        <v>281</v>
      </c>
      <c r="E173" s="486" t="s">
        <v>282</v>
      </c>
      <c r="F173" s="441" t="s">
        <v>744</v>
      </c>
      <c r="G173" s="465" t="s">
        <v>745</v>
      </c>
      <c r="H173" s="465" t="s">
        <v>745</v>
      </c>
      <c r="I173" s="456"/>
      <c r="J173" s="454"/>
      <c r="K173" s="454"/>
      <c r="L173" s="454"/>
      <c r="M173" s="454"/>
      <c r="N173" s="454"/>
      <c r="O173" s="454"/>
      <c r="P173" s="825"/>
      <c r="Q173" s="825"/>
      <c r="R173" s="825"/>
      <c r="S173" s="825"/>
      <c r="T173" s="825"/>
      <c r="U173" s="825"/>
      <c r="V173" s="825"/>
      <c r="W173" s="825"/>
    </row>
    <row r="174" spans="1:23" ht="68">
      <c r="A174" s="1055"/>
      <c r="B174" s="474">
        <v>187</v>
      </c>
      <c r="C174" s="475"/>
      <c r="D174" s="476" t="s">
        <v>283</v>
      </c>
      <c r="E174" s="486" t="s">
        <v>1883</v>
      </c>
      <c r="F174" s="441" t="s">
        <v>746</v>
      </c>
      <c r="G174" s="465" t="s">
        <v>745</v>
      </c>
      <c r="H174" s="465" t="s">
        <v>745</v>
      </c>
      <c r="I174" s="456"/>
      <c r="J174" s="454"/>
      <c r="K174" s="454"/>
      <c r="L174" s="454"/>
      <c r="M174" s="454"/>
      <c r="N174" s="454"/>
      <c r="O174" s="454"/>
      <c r="P174" s="825"/>
      <c r="Q174" s="825"/>
      <c r="R174" s="825"/>
      <c r="S174" s="825"/>
      <c r="T174" s="825"/>
      <c r="U174" s="825"/>
      <c r="V174" s="825"/>
      <c r="W174" s="825"/>
    </row>
    <row r="175" spans="1:23" ht="51">
      <c r="A175" s="1055"/>
      <c r="B175" s="474">
        <v>188</v>
      </c>
      <c r="C175" s="475"/>
      <c r="D175" s="476" t="s">
        <v>284</v>
      </c>
      <c r="E175" s="464" t="s">
        <v>1899</v>
      </c>
      <c r="F175" s="441" t="s">
        <v>747</v>
      </c>
      <c r="G175" s="465" t="s">
        <v>745</v>
      </c>
      <c r="H175" s="465" t="s">
        <v>745</v>
      </c>
      <c r="I175" s="456"/>
      <c r="J175" s="454"/>
      <c r="K175" s="454"/>
      <c r="L175" s="454"/>
      <c r="M175" s="454"/>
      <c r="N175" s="454"/>
      <c r="O175" s="454"/>
      <c r="P175" s="825"/>
      <c r="Q175" s="825"/>
      <c r="R175" s="825"/>
      <c r="S175" s="825"/>
      <c r="T175" s="825"/>
      <c r="U175" s="825"/>
      <c r="V175" s="825"/>
      <c r="W175" s="825"/>
    </row>
    <row r="176" spans="1:23" ht="29">
      <c r="A176" s="1055"/>
      <c r="B176" s="474">
        <v>189</v>
      </c>
      <c r="C176" s="475"/>
      <c r="D176" s="476"/>
      <c r="E176" s="464"/>
      <c r="F176" s="455"/>
      <c r="G176" s="465"/>
      <c r="H176" s="465"/>
      <c r="I176" s="456"/>
      <c r="J176" s="454"/>
      <c r="K176" s="454"/>
      <c r="L176" s="454"/>
      <c r="M176" s="454"/>
      <c r="N176" s="454"/>
      <c r="O176" s="454"/>
      <c r="P176" s="825"/>
      <c r="Q176" s="825"/>
      <c r="R176" s="825"/>
      <c r="S176" s="825"/>
      <c r="T176" s="825"/>
      <c r="U176" s="825"/>
      <c r="V176" s="825"/>
      <c r="W176" s="825"/>
    </row>
    <row r="177" spans="1:23" ht="51">
      <c r="A177" s="1055"/>
      <c r="B177" s="474">
        <v>190</v>
      </c>
      <c r="C177" s="475"/>
      <c r="D177" s="476" t="s">
        <v>285</v>
      </c>
      <c r="E177" s="486" t="s">
        <v>286</v>
      </c>
      <c r="F177" s="441" t="s">
        <v>744</v>
      </c>
      <c r="G177" s="465" t="s">
        <v>745</v>
      </c>
      <c r="H177" s="465" t="s">
        <v>745</v>
      </c>
      <c r="I177" s="456"/>
      <c r="J177" s="454"/>
      <c r="K177" s="454"/>
      <c r="L177" s="454"/>
      <c r="M177" s="454"/>
      <c r="N177" s="454"/>
      <c r="O177" s="454"/>
      <c r="P177" s="825"/>
      <c r="Q177" s="825"/>
      <c r="R177" s="825"/>
      <c r="S177" s="825"/>
      <c r="T177" s="825"/>
      <c r="U177" s="825"/>
      <c r="V177" s="825"/>
      <c r="W177" s="825"/>
    </row>
    <row r="178" spans="1:23" ht="74" customHeight="1">
      <c r="A178" s="1055"/>
      <c r="B178" s="474">
        <v>191</v>
      </c>
      <c r="C178" s="475"/>
      <c r="D178" s="476" t="s">
        <v>287</v>
      </c>
      <c r="E178" s="486" t="s">
        <v>1884</v>
      </c>
      <c r="F178" s="441" t="s">
        <v>746</v>
      </c>
      <c r="G178" s="465" t="s">
        <v>745</v>
      </c>
      <c r="H178" s="465" t="s">
        <v>745</v>
      </c>
      <c r="I178" s="456"/>
      <c r="J178" s="454"/>
      <c r="K178" s="454"/>
      <c r="L178" s="454"/>
      <c r="M178" s="454"/>
      <c r="N178" s="454"/>
      <c r="O178" s="454"/>
      <c r="P178" s="825"/>
      <c r="Q178" s="825"/>
      <c r="R178" s="825"/>
      <c r="S178" s="825"/>
      <c r="T178" s="825"/>
      <c r="U178" s="825"/>
      <c r="V178" s="825"/>
      <c r="W178" s="825"/>
    </row>
    <row r="179" spans="1:23" ht="68">
      <c r="A179" s="1055"/>
      <c r="B179" s="474">
        <v>192</v>
      </c>
      <c r="C179" s="475"/>
      <c r="D179" s="476" t="s">
        <v>284</v>
      </c>
      <c r="E179" s="464" t="s">
        <v>1901</v>
      </c>
      <c r="F179" s="441" t="s">
        <v>747</v>
      </c>
      <c r="G179" s="465" t="s">
        <v>745</v>
      </c>
      <c r="H179" s="465" t="s">
        <v>745</v>
      </c>
      <c r="I179" s="456"/>
      <c r="J179" s="454"/>
      <c r="K179" s="454"/>
      <c r="L179" s="454"/>
      <c r="M179" s="454"/>
      <c r="N179" s="454"/>
      <c r="O179" s="454"/>
      <c r="P179" s="825"/>
      <c r="Q179" s="825"/>
      <c r="R179" s="825"/>
      <c r="S179" s="825"/>
      <c r="T179" s="825"/>
      <c r="U179" s="825"/>
      <c r="V179" s="825"/>
      <c r="W179" s="825"/>
    </row>
    <row r="180" spans="1:23" ht="29">
      <c r="A180" s="1055"/>
      <c r="B180" s="474">
        <v>193</v>
      </c>
      <c r="C180" s="475"/>
      <c r="D180" s="476"/>
      <c r="E180" s="464"/>
      <c r="F180" s="455"/>
      <c r="G180" s="465"/>
      <c r="H180" s="465"/>
      <c r="I180" s="456"/>
      <c r="J180" s="454"/>
      <c r="K180" s="454"/>
      <c r="L180" s="454"/>
      <c r="M180" s="454"/>
      <c r="N180" s="454"/>
      <c r="O180" s="454"/>
      <c r="P180" s="825"/>
      <c r="Q180" s="825"/>
      <c r="R180" s="825"/>
      <c r="S180" s="825"/>
      <c r="T180" s="825"/>
      <c r="U180" s="825"/>
      <c r="V180" s="825"/>
      <c r="W180" s="825"/>
    </row>
    <row r="181" spans="1:23" ht="51">
      <c r="A181" s="1055"/>
      <c r="B181" s="474">
        <v>194</v>
      </c>
      <c r="C181" s="475"/>
      <c r="D181" s="476" t="s">
        <v>288</v>
      </c>
      <c r="E181" s="486" t="s">
        <v>289</v>
      </c>
      <c r="F181" s="441" t="s">
        <v>744</v>
      </c>
      <c r="G181" s="465" t="s">
        <v>745</v>
      </c>
      <c r="H181" s="465" t="s">
        <v>745</v>
      </c>
      <c r="I181" s="830"/>
      <c r="J181" s="824"/>
      <c r="K181" s="824"/>
      <c r="L181" s="824"/>
      <c r="M181" s="824"/>
      <c r="N181" s="824"/>
      <c r="O181" s="824"/>
      <c r="P181" s="824"/>
      <c r="Q181" s="824"/>
      <c r="R181" s="824"/>
      <c r="S181" s="824"/>
      <c r="T181" s="824"/>
      <c r="U181" s="824"/>
      <c r="V181" s="824"/>
      <c r="W181" s="824"/>
    </row>
    <row r="182" spans="1:23" ht="68">
      <c r="A182" s="1055"/>
      <c r="B182" s="474">
        <v>195</v>
      </c>
      <c r="C182" s="475"/>
      <c r="D182" s="476" t="s">
        <v>290</v>
      </c>
      <c r="E182" s="486" t="s">
        <v>1885</v>
      </c>
      <c r="F182" s="441" t="s">
        <v>746</v>
      </c>
      <c r="G182" s="465" t="s">
        <v>745</v>
      </c>
      <c r="H182" s="465" t="s">
        <v>745</v>
      </c>
      <c r="I182" s="830"/>
      <c r="J182" s="824"/>
      <c r="K182" s="824"/>
      <c r="L182" s="824"/>
      <c r="M182" s="824"/>
      <c r="N182" s="824"/>
      <c r="O182" s="824"/>
      <c r="P182" s="824"/>
      <c r="Q182" s="824"/>
      <c r="R182" s="824"/>
      <c r="S182" s="824"/>
      <c r="T182" s="824"/>
      <c r="U182" s="824"/>
      <c r="V182" s="824"/>
      <c r="W182" s="824"/>
    </row>
    <row r="183" spans="1:23" ht="29">
      <c r="A183" s="1055"/>
      <c r="B183" s="474">
        <v>196</v>
      </c>
      <c r="C183" s="475"/>
      <c r="D183" s="476"/>
      <c r="E183" s="464"/>
      <c r="F183" s="455"/>
      <c r="G183" s="465"/>
      <c r="H183" s="465"/>
      <c r="I183" s="830"/>
      <c r="J183" s="824"/>
      <c r="K183" s="824"/>
      <c r="L183" s="824"/>
      <c r="M183" s="824"/>
      <c r="N183" s="824"/>
      <c r="O183" s="824"/>
      <c r="P183" s="824"/>
      <c r="Q183" s="824"/>
      <c r="R183" s="824"/>
      <c r="S183" s="824"/>
      <c r="T183" s="824"/>
      <c r="U183" s="824"/>
      <c r="V183" s="824"/>
      <c r="W183" s="824"/>
    </row>
    <row r="184" spans="1:23" ht="51">
      <c r="A184" s="1055"/>
      <c r="B184" s="474">
        <v>197</v>
      </c>
      <c r="C184" s="475"/>
      <c r="D184" s="476" t="s">
        <v>291</v>
      </c>
      <c r="E184" s="486" t="s">
        <v>292</v>
      </c>
      <c r="F184" s="441" t="s">
        <v>744</v>
      </c>
      <c r="G184" s="465" t="s">
        <v>745</v>
      </c>
      <c r="H184" s="465" t="s">
        <v>745</v>
      </c>
      <c r="I184" s="465"/>
      <c r="J184" s="495"/>
      <c r="K184" s="495"/>
      <c r="L184" s="495"/>
      <c r="M184" s="495"/>
      <c r="N184" s="495"/>
      <c r="O184" s="495"/>
      <c r="P184" s="824"/>
      <c r="Q184" s="824"/>
      <c r="R184" s="824"/>
      <c r="S184" s="824"/>
      <c r="T184" s="824"/>
      <c r="U184" s="824"/>
      <c r="V184" s="824"/>
      <c r="W184" s="824"/>
    </row>
    <row r="185" spans="1:23" ht="68">
      <c r="A185" s="1055"/>
      <c r="B185" s="474">
        <v>198</v>
      </c>
      <c r="C185" s="475"/>
      <c r="D185" s="476" t="s">
        <v>293</v>
      </c>
      <c r="E185" s="486" t="s">
        <v>1886</v>
      </c>
      <c r="F185" s="441" t="s">
        <v>746</v>
      </c>
      <c r="G185" s="465" t="s">
        <v>745</v>
      </c>
      <c r="H185" s="465" t="s">
        <v>745</v>
      </c>
      <c r="I185" s="465"/>
      <c r="J185" s="495"/>
      <c r="K185" s="495"/>
      <c r="L185" s="495"/>
      <c r="M185" s="495"/>
      <c r="N185" s="495"/>
      <c r="O185" s="495"/>
      <c r="P185" s="824"/>
      <c r="Q185" s="824"/>
      <c r="R185" s="824"/>
      <c r="S185" s="824"/>
      <c r="T185" s="824"/>
      <c r="U185" s="824"/>
      <c r="V185" s="824"/>
      <c r="W185" s="824"/>
    </row>
    <row r="186" spans="1:23" ht="29">
      <c r="A186" s="1055"/>
      <c r="B186" s="474">
        <v>199</v>
      </c>
      <c r="C186" s="475"/>
      <c r="D186" s="476"/>
      <c r="E186" s="464"/>
      <c r="F186" s="455"/>
      <c r="G186" s="465"/>
      <c r="H186" s="465"/>
      <c r="I186" s="465"/>
      <c r="J186" s="495"/>
      <c r="K186" s="495"/>
      <c r="L186" s="495"/>
      <c r="M186" s="495"/>
      <c r="N186" s="495"/>
      <c r="O186" s="495"/>
      <c r="P186" s="824"/>
      <c r="Q186" s="824"/>
      <c r="R186" s="824"/>
      <c r="S186" s="824"/>
      <c r="T186" s="824"/>
      <c r="U186" s="824"/>
      <c r="V186" s="824"/>
      <c r="W186" s="824"/>
    </row>
    <row r="187" spans="1:23" ht="51">
      <c r="A187" s="1055"/>
      <c r="B187" s="474">
        <v>200</v>
      </c>
      <c r="C187" s="475"/>
      <c r="D187" s="476" t="s">
        <v>294</v>
      </c>
      <c r="E187" s="486" t="s">
        <v>295</v>
      </c>
      <c r="F187" s="441" t="s">
        <v>744</v>
      </c>
      <c r="G187" s="465" t="s">
        <v>745</v>
      </c>
      <c r="H187" s="465" t="s">
        <v>745</v>
      </c>
      <c r="I187" s="465"/>
      <c r="J187" s="495"/>
      <c r="K187" s="495"/>
      <c r="L187" s="495"/>
      <c r="M187" s="495"/>
      <c r="N187" s="495"/>
      <c r="O187" s="495"/>
      <c r="P187" s="824"/>
      <c r="Q187" s="824"/>
      <c r="R187" s="824"/>
      <c r="S187" s="824"/>
      <c r="T187" s="824"/>
      <c r="U187" s="824"/>
      <c r="V187" s="824"/>
      <c r="W187" s="824"/>
    </row>
    <row r="188" spans="1:23" ht="68">
      <c r="A188" s="1055"/>
      <c r="B188" s="474">
        <v>201</v>
      </c>
      <c r="C188" s="475"/>
      <c r="D188" s="476" t="s">
        <v>296</v>
      </c>
      <c r="E188" s="486" t="s">
        <v>1887</v>
      </c>
      <c r="F188" s="441" t="s">
        <v>746</v>
      </c>
      <c r="G188" s="465" t="s">
        <v>745</v>
      </c>
      <c r="H188" s="465" t="s">
        <v>745</v>
      </c>
      <c r="I188" s="465"/>
      <c r="J188" s="495"/>
      <c r="K188" s="495"/>
      <c r="L188" s="495"/>
      <c r="M188" s="495"/>
      <c r="N188" s="495"/>
      <c r="O188" s="495"/>
      <c r="P188" s="824"/>
      <c r="Q188" s="824"/>
      <c r="R188" s="824"/>
      <c r="S188" s="824"/>
      <c r="T188" s="824"/>
      <c r="U188" s="824"/>
      <c r="V188" s="824"/>
      <c r="W188" s="824"/>
    </row>
    <row r="189" spans="1:23" ht="29">
      <c r="A189" s="1055"/>
      <c r="B189" s="474">
        <v>202</v>
      </c>
      <c r="C189" s="475"/>
      <c r="D189" s="476"/>
      <c r="E189" s="486"/>
      <c r="F189" s="441"/>
      <c r="G189" s="465"/>
      <c r="H189" s="465"/>
      <c r="I189" s="465"/>
      <c r="J189" s="495"/>
      <c r="K189" s="495"/>
      <c r="L189" s="495"/>
      <c r="M189" s="495"/>
      <c r="N189" s="495"/>
      <c r="O189" s="495"/>
      <c r="P189" s="824"/>
      <c r="Q189" s="824"/>
      <c r="R189" s="824"/>
      <c r="S189" s="824"/>
      <c r="T189" s="824"/>
      <c r="U189" s="824"/>
      <c r="V189" s="824"/>
      <c r="W189" s="824"/>
    </row>
    <row r="190" spans="1:23" ht="51">
      <c r="A190" s="1055"/>
      <c r="B190" s="474">
        <v>203</v>
      </c>
      <c r="C190" s="475"/>
      <c r="D190" s="476" t="s">
        <v>297</v>
      </c>
      <c r="E190" s="486" t="s">
        <v>298</v>
      </c>
      <c r="F190" s="441" t="s">
        <v>744</v>
      </c>
      <c r="G190" s="465" t="s">
        <v>745</v>
      </c>
      <c r="H190" s="465" t="s">
        <v>745</v>
      </c>
      <c r="I190" s="465"/>
      <c r="J190" s="495"/>
      <c r="K190" s="495"/>
      <c r="L190" s="495"/>
      <c r="M190" s="495"/>
      <c r="N190" s="495"/>
      <c r="O190" s="495"/>
      <c r="P190" s="824"/>
      <c r="Q190" s="824"/>
      <c r="R190" s="824"/>
      <c r="S190" s="824"/>
      <c r="T190" s="824"/>
      <c r="U190" s="824"/>
      <c r="V190" s="824"/>
      <c r="W190" s="824"/>
    </row>
    <row r="191" spans="1:23" ht="68">
      <c r="A191" s="1055"/>
      <c r="B191" s="474">
        <v>204</v>
      </c>
      <c r="C191" s="475"/>
      <c r="D191" s="476" t="s">
        <v>299</v>
      </c>
      <c r="E191" s="486" t="s">
        <v>1888</v>
      </c>
      <c r="F191" s="441" t="s">
        <v>746</v>
      </c>
      <c r="G191" s="465" t="s">
        <v>745</v>
      </c>
      <c r="H191" s="465" t="s">
        <v>745</v>
      </c>
      <c r="I191" s="465"/>
      <c r="J191" s="495"/>
      <c r="K191" s="495"/>
      <c r="L191" s="495"/>
      <c r="M191" s="495"/>
      <c r="N191" s="495"/>
      <c r="O191" s="495"/>
      <c r="P191" s="824"/>
      <c r="Q191" s="824"/>
      <c r="R191" s="824"/>
      <c r="S191" s="824"/>
      <c r="T191" s="824"/>
      <c r="U191" s="824"/>
      <c r="V191" s="824"/>
      <c r="W191" s="824"/>
    </row>
    <row r="192" spans="1:23" ht="29">
      <c r="A192" s="1055"/>
      <c r="B192" s="435">
        <v>205</v>
      </c>
      <c r="C192" s="419" t="s">
        <v>748</v>
      </c>
      <c r="D192" s="420"/>
      <c r="E192" s="436"/>
      <c r="F192" s="436"/>
      <c r="G192" s="436"/>
      <c r="H192" s="436"/>
      <c r="I192" s="436"/>
      <c r="J192" s="495"/>
      <c r="K192" s="495"/>
      <c r="L192" s="495"/>
      <c r="M192" s="495"/>
      <c r="N192" s="495"/>
      <c r="O192" s="495"/>
      <c r="P192" s="824"/>
      <c r="Q192" s="824"/>
      <c r="R192" s="824"/>
      <c r="S192" s="824"/>
      <c r="T192" s="824"/>
      <c r="U192" s="824"/>
      <c r="V192" s="824"/>
      <c r="W192" s="824"/>
    </row>
    <row r="193" spans="1:23" ht="64">
      <c r="A193" s="1055"/>
      <c r="B193" s="474">
        <v>206</v>
      </c>
      <c r="C193" s="475"/>
      <c r="D193" s="476" t="s">
        <v>301</v>
      </c>
      <c r="E193" s="464" t="s">
        <v>730</v>
      </c>
      <c r="F193" s="441" t="s">
        <v>749</v>
      </c>
      <c r="G193" s="456" t="s">
        <v>750</v>
      </c>
      <c r="H193" s="456" t="s">
        <v>733</v>
      </c>
      <c r="I193" s="465"/>
      <c r="J193" s="495"/>
      <c r="K193" s="495"/>
      <c r="L193" s="495"/>
      <c r="M193" s="495"/>
      <c r="N193" s="495"/>
      <c r="O193" s="495"/>
      <c r="P193" s="824"/>
      <c r="Q193" s="824"/>
      <c r="R193" s="824"/>
      <c r="S193" s="824"/>
      <c r="T193" s="824"/>
      <c r="U193" s="824"/>
      <c r="V193" s="824"/>
      <c r="W193" s="824"/>
    </row>
    <row r="194" spans="1:23" ht="37">
      <c r="A194" s="1055"/>
      <c r="B194" s="474">
        <v>207</v>
      </c>
      <c r="C194" s="475"/>
      <c r="D194" s="476" t="s">
        <v>302</v>
      </c>
      <c r="E194" s="486" t="s">
        <v>303</v>
      </c>
      <c r="F194" s="441" t="s">
        <v>746</v>
      </c>
      <c r="G194" s="465" t="s">
        <v>751</v>
      </c>
      <c r="H194" s="465" t="s">
        <v>751</v>
      </c>
      <c r="I194" s="465"/>
      <c r="J194" s="495"/>
      <c r="K194" s="495"/>
      <c r="L194" s="495"/>
      <c r="M194" s="495"/>
      <c r="N194" s="495"/>
      <c r="O194" s="495"/>
      <c r="P194" s="824"/>
      <c r="Q194" s="824"/>
      <c r="R194" s="824"/>
      <c r="S194" s="824"/>
      <c r="T194" s="824"/>
      <c r="U194" s="824"/>
      <c r="V194" s="824"/>
      <c r="W194" s="824"/>
    </row>
    <row r="195" spans="1:23" ht="51">
      <c r="A195" s="1055"/>
      <c r="B195" s="474">
        <v>208</v>
      </c>
      <c r="C195" s="475"/>
      <c r="D195" s="476" t="s">
        <v>304</v>
      </c>
      <c r="E195" s="464" t="s">
        <v>260</v>
      </c>
      <c r="F195" s="441" t="s">
        <v>752</v>
      </c>
      <c r="G195" s="465" t="s">
        <v>751</v>
      </c>
      <c r="H195" s="465" t="s">
        <v>751</v>
      </c>
      <c r="I195" s="465"/>
      <c r="J195" s="495"/>
      <c r="K195" s="495"/>
      <c r="L195" s="495"/>
      <c r="M195" s="495"/>
      <c r="N195" s="495"/>
      <c r="O195" s="495"/>
      <c r="P195" s="824"/>
      <c r="Q195" s="824"/>
      <c r="R195" s="824"/>
      <c r="S195" s="824"/>
      <c r="T195" s="824"/>
      <c r="U195" s="824"/>
      <c r="V195" s="824"/>
      <c r="W195" s="824"/>
    </row>
    <row r="196" spans="1:23" ht="29">
      <c r="A196" s="1055"/>
      <c r="B196" s="474">
        <v>209</v>
      </c>
      <c r="C196" s="475"/>
      <c r="D196" s="476"/>
      <c r="E196" s="464"/>
      <c r="F196" s="455"/>
      <c r="G196" s="465"/>
      <c r="H196" s="465"/>
      <c r="I196" s="465"/>
      <c r="J196" s="495"/>
      <c r="K196" s="495"/>
      <c r="L196" s="495"/>
      <c r="M196" s="495"/>
      <c r="N196" s="495"/>
      <c r="O196" s="495"/>
      <c r="P196" s="824"/>
      <c r="Q196" s="824"/>
      <c r="R196" s="824"/>
      <c r="S196" s="824"/>
      <c r="T196" s="824"/>
      <c r="U196" s="824"/>
      <c r="V196" s="824"/>
      <c r="W196" s="824"/>
    </row>
    <row r="197" spans="1:23" ht="80">
      <c r="A197" s="1055"/>
      <c r="B197" s="474">
        <v>210</v>
      </c>
      <c r="C197" s="475"/>
      <c r="D197" s="476" t="s">
        <v>305</v>
      </c>
      <c r="E197" s="464" t="s">
        <v>737</v>
      </c>
      <c r="F197" s="441" t="s">
        <v>749</v>
      </c>
      <c r="G197" s="456" t="s">
        <v>753</v>
      </c>
      <c r="H197" s="465" t="s">
        <v>751</v>
      </c>
      <c r="I197" s="465"/>
      <c r="J197" s="495"/>
      <c r="K197" s="495"/>
      <c r="L197" s="495"/>
      <c r="M197" s="495"/>
      <c r="N197" s="495"/>
      <c r="O197" s="495"/>
      <c r="P197" s="824"/>
      <c r="Q197" s="824"/>
      <c r="R197" s="824"/>
      <c r="S197" s="824"/>
      <c r="T197" s="824"/>
      <c r="U197" s="824"/>
      <c r="V197" s="824"/>
      <c r="W197" s="824"/>
    </row>
    <row r="198" spans="1:23" ht="37">
      <c r="A198" s="1055"/>
      <c r="B198" s="474">
        <v>211</v>
      </c>
      <c r="C198" s="475"/>
      <c r="D198" s="476" t="s">
        <v>306</v>
      </c>
      <c r="E198" s="486" t="s">
        <v>307</v>
      </c>
      <c r="F198" s="441" t="s">
        <v>746</v>
      </c>
      <c r="G198" s="465" t="s">
        <v>751</v>
      </c>
      <c r="H198" s="465" t="s">
        <v>751</v>
      </c>
      <c r="I198" s="465"/>
      <c r="J198" s="495"/>
      <c r="K198" s="495"/>
      <c r="L198" s="495"/>
      <c r="M198" s="495"/>
      <c r="N198" s="495"/>
      <c r="O198" s="495"/>
      <c r="P198" s="824"/>
      <c r="Q198" s="824"/>
      <c r="R198" s="824"/>
      <c r="S198" s="824"/>
      <c r="T198" s="824"/>
      <c r="U198" s="824"/>
      <c r="V198" s="824"/>
      <c r="W198" s="824"/>
    </row>
    <row r="199" spans="1:23" ht="51">
      <c r="A199" s="1055"/>
      <c r="B199" s="474">
        <v>212</v>
      </c>
      <c r="C199" s="475"/>
      <c r="D199" s="476" t="s">
        <v>308</v>
      </c>
      <c r="E199" s="464" t="s">
        <v>266</v>
      </c>
      <c r="F199" s="441" t="s">
        <v>754</v>
      </c>
      <c r="G199" s="465" t="s">
        <v>751</v>
      </c>
      <c r="H199" s="465" t="s">
        <v>751</v>
      </c>
      <c r="I199" s="465"/>
      <c r="J199" s="495"/>
      <c r="K199" s="495"/>
      <c r="L199" s="495"/>
      <c r="M199" s="495"/>
      <c r="N199" s="495"/>
      <c r="O199" s="495"/>
      <c r="P199" s="824"/>
      <c r="Q199" s="824"/>
      <c r="R199" s="824"/>
      <c r="S199" s="824"/>
      <c r="T199" s="824"/>
      <c r="U199" s="824"/>
      <c r="V199" s="824"/>
      <c r="W199" s="824"/>
    </row>
    <row r="200" spans="1:23" s="457" customFormat="1" ht="289">
      <c r="A200" s="1055"/>
      <c r="B200" s="600">
        <v>213</v>
      </c>
      <c r="C200" s="411" t="s">
        <v>755</v>
      </c>
      <c r="D200" s="412"/>
      <c r="E200" s="437"/>
      <c r="F200" s="437"/>
      <c r="G200" s="409" t="s">
        <v>756</v>
      </c>
      <c r="H200" s="838" t="s">
        <v>757</v>
      </c>
      <c r="I200" s="838" t="s">
        <v>758</v>
      </c>
      <c r="J200" s="465"/>
      <c r="K200" s="465"/>
      <c r="L200" s="465"/>
      <c r="M200" s="465"/>
      <c r="N200" s="465"/>
      <c r="O200" s="465"/>
      <c r="P200" s="830"/>
      <c r="Q200" s="830"/>
      <c r="R200" s="830"/>
      <c r="S200" s="830"/>
      <c r="T200" s="830"/>
      <c r="U200" s="830"/>
      <c r="V200" s="830"/>
      <c r="W200" s="830"/>
    </row>
    <row r="201" spans="1:23" ht="29">
      <c r="A201" s="1055"/>
      <c r="B201" s="435">
        <v>214</v>
      </c>
      <c r="C201" s="419" t="s">
        <v>310</v>
      </c>
      <c r="D201" s="420"/>
      <c r="E201" s="436"/>
      <c r="F201" s="436"/>
      <c r="G201" s="436"/>
      <c r="H201" s="496"/>
      <c r="I201" s="496"/>
      <c r="J201" s="495"/>
      <c r="K201" s="495"/>
      <c r="L201" s="495"/>
      <c r="M201" s="495"/>
      <c r="N201" s="495"/>
      <c r="O201" s="495"/>
      <c r="P201" s="824"/>
      <c r="Q201" s="824"/>
      <c r="R201" s="824"/>
      <c r="S201" s="824"/>
      <c r="T201" s="824"/>
      <c r="U201" s="824"/>
      <c r="V201" s="824"/>
      <c r="W201" s="824"/>
    </row>
    <row r="202" spans="1:23" s="457" customFormat="1" ht="51">
      <c r="A202" s="159"/>
      <c r="B202" s="483">
        <v>215</v>
      </c>
      <c r="C202" s="484"/>
      <c r="D202" s="485" t="s">
        <v>311</v>
      </c>
      <c r="E202" s="486" t="s">
        <v>312</v>
      </c>
      <c r="F202" s="441" t="s">
        <v>759</v>
      </c>
      <c r="G202" s="465" t="s">
        <v>760</v>
      </c>
      <c r="H202" s="465" t="s">
        <v>760</v>
      </c>
      <c r="I202" s="465"/>
      <c r="J202" s="465"/>
      <c r="K202" s="465"/>
      <c r="L202" s="465"/>
      <c r="M202" s="465"/>
      <c r="N202" s="465"/>
      <c r="O202" s="465"/>
      <c r="P202" s="830"/>
      <c r="Q202" s="830"/>
      <c r="R202" s="830"/>
      <c r="S202" s="830"/>
      <c r="T202" s="830"/>
      <c r="U202" s="830"/>
      <c r="V202" s="830"/>
      <c r="W202" s="830"/>
    </row>
    <row r="203" spans="1:23" s="457" customFormat="1" ht="68">
      <c r="A203" s="1055"/>
      <c r="B203" s="483">
        <v>216</v>
      </c>
      <c r="C203" s="484"/>
      <c r="D203" s="485" t="s">
        <v>761</v>
      </c>
      <c r="E203" s="486" t="s">
        <v>1889</v>
      </c>
      <c r="F203" s="441" t="s">
        <v>762</v>
      </c>
      <c r="G203" s="465" t="s">
        <v>760</v>
      </c>
      <c r="H203" s="465" t="s">
        <v>760</v>
      </c>
      <c r="I203" s="465"/>
      <c r="J203" s="465"/>
      <c r="K203" s="465"/>
      <c r="L203" s="465"/>
      <c r="M203" s="465"/>
      <c r="N203" s="465"/>
      <c r="O203" s="465"/>
      <c r="P203" s="830"/>
      <c r="Q203" s="830"/>
      <c r="R203" s="830"/>
      <c r="S203" s="830"/>
      <c r="T203" s="830"/>
      <c r="U203" s="830"/>
      <c r="V203" s="830"/>
      <c r="W203" s="830"/>
    </row>
    <row r="204" spans="1:23" s="457" customFormat="1" ht="29">
      <c r="A204" s="1055"/>
      <c r="B204" s="483">
        <v>217</v>
      </c>
      <c r="C204" s="484"/>
      <c r="D204" s="485"/>
      <c r="E204" s="464"/>
      <c r="F204" s="455"/>
      <c r="G204" s="465"/>
      <c r="H204" s="465"/>
      <c r="I204" s="465"/>
      <c r="J204" s="465"/>
      <c r="K204" s="465"/>
      <c r="L204" s="465"/>
      <c r="M204" s="465"/>
      <c r="N204" s="465"/>
      <c r="O204" s="465"/>
      <c r="P204" s="830"/>
      <c r="Q204" s="830"/>
      <c r="R204" s="830"/>
      <c r="S204" s="830"/>
      <c r="T204" s="830"/>
      <c r="U204" s="830"/>
      <c r="V204" s="830"/>
      <c r="W204" s="830"/>
    </row>
    <row r="205" spans="1:23" s="457" customFormat="1" ht="51">
      <c r="A205" s="159"/>
      <c r="B205" s="483">
        <v>218</v>
      </c>
      <c r="C205" s="484"/>
      <c r="D205" s="485" t="s">
        <v>314</v>
      </c>
      <c r="E205" s="486" t="s">
        <v>315</v>
      </c>
      <c r="F205" s="441" t="s">
        <v>759</v>
      </c>
      <c r="G205" s="465" t="s">
        <v>760</v>
      </c>
      <c r="H205" s="465" t="s">
        <v>760</v>
      </c>
      <c r="I205" s="465"/>
      <c r="J205" s="465"/>
      <c r="K205" s="465"/>
      <c r="L205" s="465"/>
      <c r="M205" s="465"/>
      <c r="N205" s="465"/>
      <c r="O205" s="465"/>
      <c r="P205" s="830"/>
      <c r="Q205" s="830"/>
      <c r="R205" s="830"/>
      <c r="S205" s="830"/>
      <c r="T205" s="830"/>
      <c r="U205" s="830"/>
      <c r="V205" s="830"/>
      <c r="W205" s="830"/>
    </row>
    <row r="206" spans="1:23" s="457" customFormat="1" ht="68">
      <c r="A206" s="1055"/>
      <c r="B206" s="483">
        <v>219</v>
      </c>
      <c r="C206" s="484"/>
      <c r="D206" s="485" t="s">
        <v>316</v>
      </c>
      <c r="E206" s="486" t="s">
        <v>1890</v>
      </c>
      <c r="F206" s="441" t="s">
        <v>762</v>
      </c>
      <c r="G206" s="465" t="s">
        <v>760</v>
      </c>
      <c r="H206" s="465" t="s">
        <v>760</v>
      </c>
      <c r="I206" s="465"/>
      <c r="J206" s="465"/>
      <c r="K206" s="465"/>
      <c r="L206" s="465"/>
      <c r="M206" s="465"/>
      <c r="N206" s="465"/>
      <c r="O206" s="465"/>
      <c r="P206" s="830"/>
      <c r="Q206" s="830"/>
      <c r="R206" s="830"/>
      <c r="S206" s="830"/>
      <c r="T206" s="830"/>
      <c r="U206" s="830"/>
      <c r="V206" s="830"/>
      <c r="W206" s="830"/>
    </row>
    <row r="207" spans="1:23" s="457" customFormat="1" ht="29">
      <c r="A207" s="1055"/>
      <c r="B207" s="483">
        <v>220</v>
      </c>
      <c r="C207" s="484"/>
      <c r="D207" s="485"/>
      <c r="E207" s="464"/>
      <c r="F207" s="455"/>
      <c r="G207" s="465"/>
      <c r="H207" s="465"/>
      <c r="I207" s="465"/>
      <c r="J207" s="465"/>
      <c r="K207" s="465"/>
      <c r="L207" s="465"/>
      <c r="M207" s="465"/>
      <c r="N207" s="465"/>
      <c r="O207" s="465"/>
      <c r="P207" s="830"/>
      <c r="Q207" s="830"/>
      <c r="R207" s="830"/>
      <c r="S207" s="830"/>
      <c r="T207" s="830"/>
      <c r="U207" s="830"/>
      <c r="V207" s="830"/>
      <c r="W207" s="830"/>
    </row>
    <row r="208" spans="1:23" s="457" customFormat="1" ht="51">
      <c r="A208" s="1055"/>
      <c r="B208" s="483">
        <v>221</v>
      </c>
      <c r="C208" s="484"/>
      <c r="D208" s="485" t="s">
        <v>317</v>
      </c>
      <c r="E208" s="486" t="s">
        <v>318</v>
      </c>
      <c r="F208" s="441" t="s">
        <v>759</v>
      </c>
      <c r="G208" s="465" t="s">
        <v>760</v>
      </c>
      <c r="H208" s="465" t="s">
        <v>760</v>
      </c>
      <c r="I208" s="465"/>
      <c r="J208" s="465"/>
      <c r="K208" s="465"/>
      <c r="L208" s="465"/>
      <c r="M208" s="465"/>
      <c r="N208" s="465"/>
      <c r="O208" s="465"/>
      <c r="P208" s="830"/>
      <c r="Q208" s="830"/>
      <c r="R208" s="830"/>
      <c r="S208" s="830"/>
      <c r="T208" s="830"/>
      <c r="U208" s="830"/>
      <c r="V208" s="830"/>
      <c r="W208" s="830"/>
    </row>
    <row r="209" spans="1:23" s="457" customFormat="1" ht="68">
      <c r="A209" s="1055"/>
      <c r="B209" s="483">
        <v>222</v>
      </c>
      <c r="C209" s="484"/>
      <c r="D209" s="485" t="s">
        <v>319</v>
      </c>
      <c r="E209" s="486" t="s">
        <v>1891</v>
      </c>
      <c r="F209" s="441" t="s">
        <v>762</v>
      </c>
      <c r="G209" s="465" t="s">
        <v>760</v>
      </c>
      <c r="H209" s="465" t="s">
        <v>760</v>
      </c>
      <c r="I209" s="465"/>
      <c r="J209" s="465"/>
      <c r="K209" s="465"/>
      <c r="L209" s="465"/>
      <c r="M209" s="465"/>
      <c r="N209" s="465"/>
      <c r="O209" s="465"/>
      <c r="P209" s="830"/>
      <c r="Q209" s="830"/>
      <c r="R209" s="830"/>
      <c r="S209" s="830"/>
      <c r="T209" s="830"/>
      <c r="U209" s="830"/>
      <c r="V209" s="830"/>
      <c r="W209" s="830"/>
    </row>
    <row r="210" spans="1:23" s="457" customFormat="1" ht="29">
      <c r="A210" s="1055"/>
      <c r="B210" s="483">
        <v>223</v>
      </c>
      <c r="C210" s="484"/>
      <c r="D210" s="485"/>
      <c r="E210" s="464"/>
      <c r="F210" s="455"/>
      <c r="G210" s="465"/>
      <c r="H210" s="465"/>
      <c r="I210" s="465"/>
      <c r="J210" s="465"/>
      <c r="K210" s="465"/>
      <c r="L210" s="465"/>
      <c r="M210" s="465"/>
      <c r="N210" s="465"/>
      <c r="O210" s="465"/>
      <c r="P210" s="830"/>
      <c r="Q210" s="830"/>
      <c r="R210" s="830"/>
      <c r="S210" s="830"/>
      <c r="T210" s="830"/>
      <c r="U210" s="830"/>
      <c r="V210" s="830"/>
      <c r="W210" s="830"/>
    </row>
    <row r="211" spans="1:23" s="457" customFormat="1" ht="51">
      <c r="A211" s="1055"/>
      <c r="B211" s="483">
        <v>224</v>
      </c>
      <c r="C211" s="484"/>
      <c r="D211" s="485" t="s">
        <v>320</v>
      </c>
      <c r="E211" s="486" t="s">
        <v>321</v>
      </c>
      <c r="F211" s="441" t="s">
        <v>759</v>
      </c>
      <c r="G211" s="465" t="s">
        <v>760</v>
      </c>
      <c r="H211" s="465" t="s">
        <v>760</v>
      </c>
      <c r="I211" s="465"/>
      <c r="J211" s="465"/>
      <c r="K211" s="465"/>
      <c r="L211" s="465"/>
      <c r="M211" s="465"/>
      <c r="N211" s="465"/>
      <c r="O211" s="465"/>
      <c r="P211" s="830"/>
      <c r="Q211" s="830"/>
      <c r="R211" s="830"/>
      <c r="S211" s="830"/>
      <c r="T211" s="830"/>
      <c r="U211" s="830"/>
      <c r="V211" s="830"/>
      <c r="W211" s="830"/>
    </row>
    <row r="212" spans="1:23" s="457" customFormat="1" ht="68">
      <c r="A212" s="1055"/>
      <c r="B212" s="483">
        <v>225</v>
      </c>
      <c r="C212" s="484"/>
      <c r="D212" s="485" t="s">
        <v>322</v>
      </c>
      <c r="E212" s="486" t="s">
        <v>1892</v>
      </c>
      <c r="F212" s="441" t="s">
        <v>762</v>
      </c>
      <c r="G212" s="465" t="s">
        <v>760</v>
      </c>
      <c r="H212" s="465" t="s">
        <v>760</v>
      </c>
      <c r="I212" s="465"/>
      <c r="J212" s="465"/>
      <c r="K212" s="465"/>
      <c r="L212" s="465"/>
      <c r="M212" s="465"/>
      <c r="N212" s="465"/>
      <c r="O212" s="465"/>
      <c r="P212" s="830"/>
      <c r="Q212" s="830"/>
      <c r="R212" s="830"/>
      <c r="S212" s="830"/>
      <c r="T212" s="830"/>
      <c r="U212" s="830"/>
      <c r="V212" s="830"/>
      <c r="W212" s="830"/>
    </row>
    <row r="213" spans="1:23" s="457" customFormat="1" ht="29">
      <c r="A213" s="158"/>
      <c r="B213" s="483">
        <v>226</v>
      </c>
      <c r="C213" s="484"/>
      <c r="D213" s="485"/>
      <c r="E213" s="486"/>
      <c r="F213" s="441"/>
      <c r="G213" s="465"/>
      <c r="H213" s="465"/>
      <c r="I213" s="465"/>
      <c r="J213" s="465"/>
      <c r="K213" s="465"/>
      <c r="L213" s="465"/>
      <c r="M213" s="465"/>
      <c r="N213" s="465"/>
      <c r="O213" s="465"/>
      <c r="P213" s="830"/>
      <c r="Q213" s="830"/>
      <c r="R213" s="830"/>
      <c r="S213" s="830"/>
      <c r="T213" s="830"/>
      <c r="U213" s="830"/>
      <c r="V213" s="830"/>
      <c r="W213" s="830"/>
    </row>
    <row r="214" spans="1:23" s="457" customFormat="1" ht="51">
      <c r="A214" s="159"/>
      <c r="B214" s="483">
        <v>227</v>
      </c>
      <c r="C214" s="484"/>
      <c r="D214" s="485" t="s">
        <v>323</v>
      </c>
      <c r="E214" s="486" t="s">
        <v>324</v>
      </c>
      <c r="F214" s="441" t="s">
        <v>759</v>
      </c>
      <c r="G214" s="465" t="s">
        <v>760</v>
      </c>
      <c r="H214" s="465" t="s">
        <v>760</v>
      </c>
      <c r="I214" s="465"/>
      <c r="J214" s="465"/>
      <c r="K214" s="465"/>
      <c r="L214" s="465"/>
      <c r="M214" s="465"/>
      <c r="N214" s="465"/>
      <c r="O214" s="465"/>
      <c r="P214" s="830"/>
      <c r="Q214" s="830"/>
      <c r="R214" s="830"/>
      <c r="S214" s="830"/>
      <c r="T214" s="830"/>
      <c r="U214" s="830"/>
      <c r="V214" s="830"/>
      <c r="W214" s="830"/>
    </row>
    <row r="215" spans="1:23" s="457" customFormat="1" ht="68">
      <c r="A215" s="1055"/>
      <c r="B215" s="483">
        <v>228</v>
      </c>
      <c r="C215" s="484"/>
      <c r="D215" s="485" t="s">
        <v>325</v>
      </c>
      <c r="E215" s="486" t="s">
        <v>1893</v>
      </c>
      <c r="F215" s="441" t="s">
        <v>762</v>
      </c>
      <c r="G215" s="465" t="s">
        <v>760</v>
      </c>
      <c r="H215" s="465" t="s">
        <v>760</v>
      </c>
      <c r="I215" s="465"/>
      <c r="J215" s="465"/>
      <c r="K215" s="465"/>
      <c r="L215" s="465"/>
      <c r="M215" s="465"/>
      <c r="N215" s="465"/>
      <c r="O215" s="465"/>
      <c r="P215" s="830"/>
      <c r="Q215" s="830"/>
      <c r="R215" s="830"/>
      <c r="S215" s="830"/>
      <c r="T215" s="830"/>
      <c r="U215" s="830"/>
      <c r="V215" s="830"/>
      <c r="W215" s="830"/>
    </row>
    <row r="216" spans="1:23" s="457" customFormat="1" ht="68">
      <c r="A216" s="1055"/>
      <c r="B216" s="483">
        <v>229</v>
      </c>
      <c r="C216" s="484"/>
      <c r="D216" s="485" t="s">
        <v>326</v>
      </c>
      <c r="E216" s="464" t="s">
        <v>1902</v>
      </c>
      <c r="F216" s="441" t="s">
        <v>763</v>
      </c>
      <c r="G216" s="465" t="s">
        <v>760</v>
      </c>
      <c r="H216" s="465" t="s">
        <v>760</v>
      </c>
      <c r="I216" s="465"/>
      <c r="J216" s="465"/>
      <c r="K216" s="465"/>
      <c r="L216" s="465"/>
      <c r="M216" s="465"/>
      <c r="N216" s="465"/>
      <c r="O216" s="465"/>
      <c r="P216" s="830"/>
      <c r="Q216" s="830"/>
      <c r="R216" s="830"/>
      <c r="S216" s="830"/>
      <c r="T216" s="830"/>
      <c r="U216" s="830"/>
      <c r="V216" s="830"/>
      <c r="W216" s="830"/>
    </row>
    <row r="217" spans="1:23" s="457" customFormat="1" ht="29">
      <c r="A217" s="1055"/>
      <c r="B217" s="483">
        <v>230</v>
      </c>
      <c r="C217" s="484"/>
      <c r="D217" s="485"/>
      <c r="E217" s="464"/>
      <c r="F217" s="455"/>
      <c r="G217" s="465"/>
      <c r="H217" s="465"/>
      <c r="I217" s="465"/>
      <c r="J217" s="465"/>
      <c r="K217" s="465"/>
      <c r="L217" s="465"/>
      <c r="M217" s="465"/>
      <c r="N217" s="465"/>
      <c r="O217" s="465"/>
      <c r="P217" s="830"/>
      <c r="Q217" s="830"/>
      <c r="R217" s="830"/>
      <c r="S217" s="830"/>
      <c r="T217" s="830"/>
      <c r="U217" s="830"/>
      <c r="V217" s="830"/>
      <c r="W217" s="830"/>
    </row>
    <row r="218" spans="1:23" s="457" customFormat="1" ht="51">
      <c r="A218" s="1055"/>
      <c r="B218" s="483">
        <v>231</v>
      </c>
      <c r="C218" s="484"/>
      <c r="D218" s="485" t="s">
        <v>327</v>
      </c>
      <c r="E218" s="486" t="s">
        <v>328</v>
      </c>
      <c r="F218" s="441" t="s">
        <v>759</v>
      </c>
      <c r="G218" s="465" t="s">
        <v>760</v>
      </c>
      <c r="H218" s="465" t="s">
        <v>760</v>
      </c>
      <c r="I218" s="465"/>
      <c r="J218" s="465"/>
      <c r="K218" s="465"/>
      <c r="L218" s="465"/>
      <c r="M218" s="465"/>
      <c r="N218" s="465"/>
      <c r="O218" s="465"/>
      <c r="P218" s="830"/>
      <c r="Q218" s="830"/>
      <c r="R218" s="830"/>
      <c r="S218" s="830"/>
      <c r="T218" s="830"/>
      <c r="U218" s="830"/>
      <c r="V218" s="830"/>
      <c r="W218" s="830"/>
    </row>
    <row r="219" spans="1:23" s="457" customFormat="1" ht="68">
      <c r="A219" s="1055"/>
      <c r="B219" s="483">
        <v>232</v>
      </c>
      <c r="C219" s="484"/>
      <c r="D219" s="485" t="s">
        <v>329</v>
      </c>
      <c r="E219" s="486" t="s">
        <v>1894</v>
      </c>
      <c r="F219" s="441" t="s">
        <v>762</v>
      </c>
      <c r="G219" s="465" t="s">
        <v>760</v>
      </c>
      <c r="H219" s="465" t="s">
        <v>760</v>
      </c>
      <c r="I219" s="465"/>
      <c r="J219" s="465"/>
      <c r="K219" s="465"/>
      <c r="L219" s="465"/>
      <c r="M219" s="465"/>
      <c r="N219" s="465"/>
      <c r="O219" s="465"/>
      <c r="P219" s="830"/>
      <c r="Q219" s="830"/>
      <c r="R219" s="830"/>
      <c r="S219" s="830"/>
      <c r="T219" s="830"/>
      <c r="U219" s="830"/>
      <c r="V219" s="830"/>
      <c r="W219" s="830"/>
    </row>
    <row r="220" spans="1:23" s="457" customFormat="1" ht="68">
      <c r="A220" s="1055"/>
      <c r="B220" s="483">
        <v>233</v>
      </c>
      <c r="C220" s="484"/>
      <c r="D220" s="485" t="s">
        <v>326</v>
      </c>
      <c r="E220" s="464" t="s">
        <v>1903</v>
      </c>
      <c r="F220" s="441" t="s">
        <v>763</v>
      </c>
      <c r="G220" s="465" t="s">
        <v>760</v>
      </c>
      <c r="H220" s="465" t="s">
        <v>760</v>
      </c>
      <c r="I220" s="465"/>
      <c r="J220" s="465"/>
      <c r="K220" s="465"/>
      <c r="L220" s="465"/>
      <c r="M220" s="465"/>
      <c r="N220" s="465"/>
      <c r="O220" s="465"/>
      <c r="P220" s="830"/>
      <c r="Q220" s="830"/>
      <c r="R220" s="830"/>
      <c r="S220" s="830"/>
      <c r="T220" s="830"/>
      <c r="U220" s="830"/>
      <c r="V220" s="830"/>
      <c r="W220" s="830"/>
    </row>
    <row r="221" spans="1:23" s="457" customFormat="1" ht="29">
      <c r="A221" s="1055"/>
      <c r="B221" s="483">
        <v>234</v>
      </c>
      <c r="C221" s="484"/>
      <c r="D221" s="485"/>
      <c r="E221" s="464"/>
      <c r="F221" s="455"/>
      <c r="G221" s="465"/>
      <c r="H221" s="465"/>
      <c r="I221" s="465"/>
      <c r="J221" s="465"/>
      <c r="K221" s="465"/>
      <c r="L221" s="465"/>
      <c r="M221" s="465"/>
      <c r="N221" s="465"/>
      <c r="O221" s="465"/>
      <c r="P221" s="830"/>
      <c r="Q221" s="830"/>
      <c r="R221" s="830"/>
      <c r="S221" s="830"/>
      <c r="T221" s="830"/>
      <c r="U221" s="830"/>
      <c r="V221" s="830"/>
      <c r="W221" s="830"/>
    </row>
    <row r="222" spans="1:23" s="457" customFormat="1" ht="51">
      <c r="A222" s="1055"/>
      <c r="B222" s="483">
        <v>235</v>
      </c>
      <c r="C222" s="484"/>
      <c r="D222" s="485" t="s">
        <v>330</v>
      </c>
      <c r="E222" s="486" t="s">
        <v>331</v>
      </c>
      <c r="F222" s="441" t="s">
        <v>759</v>
      </c>
      <c r="G222" s="465" t="s">
        <v>760</v>
      </c>
      <c r="H222" s="465" t="s">
        <v>760</v>
      </c>
      <c r="I222" s="465"/>
      <c r="J222" s="465"/>
      <c r="K222" s="465"/>
      <c r="L222" s="465"/>
      <c r="M222" s="465"/>
      <c r="N222" s="465"/>
      <c r="O222" s="465"/>
      <c r="P222" s="830"/>
      <c r="Q222" s="830"/>
      <c r="R222" s="830"/>
      <c r="S222" s="830"/>
      <c r="T222" s="830"/>
      <c r="U222" s="830"/>
      <c r="V222" s="830"/>
      <c r="W222" s="830"/>
    </row>
    <row r="223" spans="1:23" s="457" customFormat="1" ht="68">
      <c r="A223" s="1055"/>
      <c r="B223" s="483">
        <v>236</v>
      </c>
      <c r="C223" s="484"/>
      <c r="D223" s="485" t="s">
        <v>332</v>
      </c>
      <c r="E223" s="486" t="s">
        <v>1895</v>
      </c>
      <c r="F223" s="441" t="s">
        <v>762</v>
      </c>
      <c r="G223" s="465" t="s">
        <v>760</v>
      </c>
      <c r="H223" s="465" t="s">
        <v>760</v>
      </c>
      <c r="I223" s="465"/>
      <c r="J223" s="465"/>
      <c r="K223" s="465"/>
      <c r="L223" s="465"/>
      <c r="M223" s="465"/>
      <c r="N223" s="465"/>
      <c r="O223" s="465"/>
      <c r="P223" s="830"/>
      <c r="Q223" s="830"/>
      <c r="R223" s="830"/>
      <c r="S223" s="830"/>
      <c r="T223" s="830"/>
      <c r="U223" s="830"/>
      <c r="V223" s="830"/>
      <c r="W223" s="830"/>
    </row>
    <row r="224" spans="1:23" s="457" customFormat="1" ht="29">
      <c r="A224" s="1055"/>
      <c r="B224" s="483">
        <v>237</v>
      </c>
      <c r="C224" s="484"/>
      <c r="D224" s="485"/>
      <c r="E224" s="464"/>
      <c r="F224" s="455"/>
      <c r="G224" s="465"/>
      <c r="H224" s="465"/>
      <c r="I224" s="465"/>
      <c r="J224" s="465"/>
      <c r="K224" s="465"/>
      <c r="L224" s="465"/>
      <c r="M224" s="465"/>
      <c r="N224" s="465"/>
      <c r="O224" s="465"/>
      <c r="P224" s="830"/>
      <c r="Q224" s="830"/>
      <c r="R224" s="830"/>
      <c r="S224" s="830"/>
      <c r="T224" s="830"/>
      <c r="U224" s="830"/>
      <c r="V224" s="830"/>
      <c r="W224" s="830"/>
    </row>
    <row r="225" spans="1:23" s="457" customFormat="1" ht="51">
      <c r="A225" s="1055"/>
      <c r="B225" s="483">
        <v>238</v>
      </c>
      <c r="C225" s="484"/>
      <c r="D225" s="485" t="s">
        <v>333</v>
      </c>
      <c r="E225" s="486" t="s">
        <v>334</v>
      </c>
      <c r="F225" s="441" t="s">
        <v>759</v>
      </c>
      <c r="G225" s="465" t="s">
        <v>760</v>
      </c>
      <c r="H225" s="465" t="s">
        <v>760</v>
      </c>
      <c r="I225" s="465"/>
      <c r="J225" s="465"/>
      <c r="K225" s="465"/>
      <c r="L225" s="465"/>
      <c r="M225" s="465"/>
      <c r="N225" s="465"/>
      <c r="O225" s="465"/>
      <c r="P225" s="830"/>
      <c r="Q225" s="830"/>
      <c r="R225" s="830"/>
      <c r="S225" s="830"/>
      <c r="T225" s="830"/>
      <c r="U225" s="830"/>
      <c r="V225" s="830"/>
      <c r="W225" s="830"/>
    </row>
    <row r="226" spans="1:23" s="457" customFormat="1" ht="68">
      <c r="A226" s="159"/>
      <c r="B226" s="483">
        <v>239</v>
      </c>
      <c r="C226" s="484"/>
      <c r="D226" s="485" t="s">
        <v>335</v>
      </c>
      <c r="E226" s="486" t="s">
        <v>1896</v>
      </c>
      <c r="F226" s="441" t="s">
        <v>762</v>
      </c>
      <c r="G226" s="465" t="s">
        <v>760</v>
      </c>
      <c r="H226" s="465" t="s">
        <v>760</v>
      </c>
      <c r="I226" s="465"/>
      <c r="J226" s="465"/>
      <c r="K226" s="465"/>
      <c r="L226" s="465"/>
      <c r="M226" s="465"/>
      <c r="N226" s="465"/>
      <c r="O226" s="465"/>
      <c r="P226" s="830"/>
      <c r="Q226" s="830"/>
      <c r="R226" s="830"/>
      <c r="S226" s="830"/>
      <c r="T226" s="830"/>
      <c r="U226" s="830"/>
      <c r="V226" s="830"/>
      <c r="W226" s="830"/>
    </row>
    <row r="227" spans="1:23" s="457" customFormat="1" ht="29">
      <c r="A227" s="1055"/>
      <c r="B227" s="483">
        <v>240</v>
      </c>
      <c r="C227" s="484"/>
      <c r="D227" s="485"/>
      <c r="E227" s="464"/>
      <c r="F227" s="455"/>
      <c r="G227" s="465"/>
      <c r="H227" s="465"/>
      <c r="I227" s="465"/>
      <c r="J227" s="465"/>
      <c r="K227" s="465"/>
      <c r="L227" s="465"/>
      <c r="M227" s="465"/>
      <c r="N227" s="465"/>
      <c r="O227" s="465"/>
      <c r="P227" s="830"/>
      <c r="Q227" s="830"/>
      <c r="R227" s="830"/>
      <c r="S227" s="830"/>
      <c r="T227" s="830"/>
      <c r="U227" s="830"/>
      <c r="V227" s="830"/>
      <c r="W227" s="830"/>
    </row>
    <row r="228" spans="1:23" s="457" customFormat="1" ht="51">
      <c r="A228" s="1055"/>
      <c r="B228" s="483">
        <v>241</v>
      </c>
      <c r="C228" s="484"/>
      <c r="D228" s="485" t="s">
        <v>336</v>
      </c>
      <c r="E228" s="486" t="s">
        <v>337</v>
      </c>
      <c r="F228" s="441" t="s">
        <v>759</v>
      </c>
      <c r="G228" s="465" t="s">
        <v>760</v>
      </c>
      <c r="H228" s="465" t="s">
        <v>760</v>
      </c>
      <c r="I228" s="465"/>
      <c r="J228" s="465"/>
      <c r="K228" s="465"/>
      <c r="L228" s="465"/>
      <c r="M228" s="465"/>
      <c r="N228" s="465"/>
      <c r="O228" s="465"/>
      <c r="P228" s="830"/>
      <c r="Q228" s="830"/>
      <c r="R228" s="830"/>
      <c r="S228" s="830"/>
      <c r="T228" s="830"/>
      <c r="U228" s="830"/>
      <c r="V228" s="830"/>
      <c r="W228" s="830"/>
    </row>
    <row r="229" spans="1:23" s="457" customFormat="1" ht="68">
      <c r="A229" s="1055"/>
      <c r="B229" s="483">
        <v>242</v>
      </c>
      <c r="C229" s="484"/>
      <c r="D229" s="485" t="s">
        <v>338</v>
      </c>
      <c r="E229" s="486" t="s">
        <v>1897</v>
      </c>
      <c r="F229" s="441" t="s">
        <v>762</v>
      </c>
      <c r="G229" s="465" t="s">
        <v>760</v>
      </c>
      <c r="H229" s="465" t="s">
        <v>760</v>
      </c>
      <c r="I229" s="465"/>
      <c r="J229" s="465"/>
      <c r="K229" s="465"/>
      <c r="L229" s="465"/>
      <c r="M229" s="465"/>
      <c r="N229" s="465"/>
      <c r="O229" s="465"/>
      <c r="P229" s="830"/>
      <c r="Q229" s="830"/>
      <c r="R229" s="830"/>
      <c r="S229" s="830"/>
      <c r="T229" s="830"/>
      <c r="U229" s="830"/>
      <c r="V229" s="830"/>
      <c r="W229" s="830"/>
    </row>
    <row r="230" spans="1:23" s="457" customFormat="1" ht="29">
      <c r="A230" s="1055"/>
      <c r="B230" s="483">
        <v>243</v>
      </c>
      <c r="C230" s="484"/>
      <c r="D230" s="485"/>
      <c r="E230" s="486"/>
      <c r="F230" s="441"/>
      <c r="G230" s="465"/>
      <c r="H230" s="465"/>
      <c r="I230" s="465"/>
      <c r="J230" s="465"/>
      <c r="K230" s="465"/>
      <c r="L230" s="465"/>
      <c r="M230" s="465"/>
      <c r="N230" s="465"/>
      <c r="O230" s="465"/>
      <c r="P230" s="830"/>
      <c r="Q230" s="830"/>
      <c r="R230" s="830"/>
      <c r="S230" s="830"/>
      <c r="T230" s="830"/>
      <c r="U230" s="830"/>
      <c r="V230" s="830"/>
      <c r="W230" s="830"/>
    </row>
    <row r="231" spans="1:23" s="457" customFormat="1" ht="51">
      <c r="A231" s="1055"/>
      <c r="B231" s="483">
        <v>244</v>
      </c>
      <c r="C231" s="484"/>
      <c r="D231" s="485" t="s">
        <v>339</v>
      </c>
      <c r="E231" s="486" t="s">
        <v>340</v>
      </c>
      <c r="F231" s="441" t="s">
        <v>759</v>
      </c>
      <c r="G231" s="465" t="s">
        <v>760</v>
      </c>
      <c r="H231" s="465" t="s">
        <v>760</v>
      </c>
      <c r="I231" s="465"/>
      <c r="J231" s="465"/>
      <c r="K231" s="465"/>
      <c r="L231" s="465"/>
      <c r="M231" s="465"/>
      <c r="N231" s="465"/>
      <c r="O231" s="465"/>
      <c r="P231" s="830"/>
      <c r="Q231" s="830"/>
      <c r="R231" s="830"/>
      <c r="S231" s="830"/>
      <c r="T231" s="830"/>
      <c r="U231" s="830"/>
      <c r="V231" s="830"/>
      <c r="W231" s="830"/>
    </row>
    <row r="232" spans="1:23" s="457" customFormat="1" ht="68">
      <c r="A232" s="1055"/>
      <c r="B232" s="483">
        <v>245</v>
      </c>
      <c r="C232" s="484"/>
      <c r="D232" s="485" t="s">
        <v>341</v>
      </c>
      <c r="E232" s="486" t="s">
        <v>1898</v>
      </c>
      <c r="F232" s="441" t="s">
        <v>762</v>
      </c>
      <c r="G232" s="465" t="s">
        <v>760</v>
      </c>
      <c r="H232" s="465" t="s">
        <v>760</v>
      </c>
      <c r="I232" s="465"/>
      <c r="J232" s="465"/>
      <c r="K232" s="465"/>
      <c r="L232" s="465"/>
      <c r="M232" s="465"/>
      <c r="N232" s="465"/>
      <c r="O232" s="465"/>
      <c r="P232" s="830"/>
      <c r="Q232" s="830"/>
      <c r="R232" s="830"/>
      <c r="S232" s="830"/>
      <c r="T232" s="830"/>
      <c r="U232" s="830"/>
      <c r="V232" s="830"/>
      <c r="W232" s="830"/>
    </row>
    <row r="233" spans="1:23" ht="29">
      <c r="A233" s="1055"/>
      <c r="B233" s="435">
        <v>246</v>
      </c>
      <c r="C233" s="419" t="s">
        <v>764</v>
      </c>
      <c r="D233" s="420"/>
      <c r="E233" s="436"/>
      <c r="F233" s="436"/>
      <c r="G233" s="436"/>
      <c r="H233" s="496"/>
      <c r="I233" s="496"/>
      <c r="J233" s="495"/>
      <c r="K233" s="495"/>
      <c r="L233" s="495"/>
      <c r="M233" s="495"/>
      <c r="N233" s="495"/>
      <c r="O233" s="495"/>
      <c r="P233" s="824"/>
      <c r="Q233" s="824"/>
      <c r="R233" s="824"/>
      <c r="S233" s="824"/>
      <c r="T233" s="824"/>
      <c r="U233" s="824"/>
      <c r="V233" s="824"/>
      <c r="W233" s="824"/>
    </row>
    <row r="234" spans="1:23" ht="80">
      <c r="A234" s="1055"/>
      <c r="B234" s="483">
        <v>247</v>
      </c>
      <c r="C234" s="484"/>
      <c r="D234" s="485" t="s">
        <v>343</v>
      </c>
      <c r="E234" s="464" t="s">
        <v>344</v>
      </c>
      <c r="F234" s="441" t="s">
        <v>765</v>
      </c>
      <c r="G234" s="456" t="s">
        <v>766</v>
      </c>
      <c r="H234" s="456" t="s">
        <v>733</v>
      </c>
      <c r="I234" s="465"/>
      <c r="J234" s="495"/>
      <c r="K234" s="495"/>
      <c r="L234" s="495"/>
      <c r="M234" s="495"/>
      <c r="N234" s="495"/>
      <c r="O234" s="495"/>
      <c r="P234" s="824"/>
      <c r="Q234" s="824"/>
      <c r="R234" s="824"/>
      <c r="S234" s="824"/>
      <c r="T234" s="824"/>
      <c r="U234" s="824"/>
      <c r="V234" s="824"/>
      <c r="W234" s="824"/>
    </row>
    <row r="235" spans="1:23" ht="51">
      <c r="A235" s="1055"/>
      <c r="B235" s="483">
        <v>248</v>
      </c>
      <c r="C235" s="484"/>
      <c r="D235" s="485" t="s">
        <v>345</v>
      </c>
      <c r="E235" s="486" t="s">
        <v>346</v>
      </c>
      <c r="F235" s="441" t="s">
        <v>762</v>
      </c>
      <c r="G235" s="465" t="s">
        <v>767</v>
      </c>
      <c r="H235" s="465" t="s">
        <v>767</v>
      </c>
      <c r="I235" s="465"/>
      <c r="J235" s="495"/>
      <c r="K235" s="495"/>
      <c r="L235" s="495"/>
      <c r="M235" s="495"/>
      <c r="N235" s="495"/>
      <c r="O235" s="495"/>
      <c r="P235" s="824"/>
      <c r="Q235" s="824"/>
      <c r="R235" s="824"/>
      <c r="S235" s="824"/>
      <c r="T235" s="824"/>
      <c r="U235" s="824"/>
      <c r="V235" s="824"/>
      <c r="W235" s="824"/>
    </row>
    <row r="236" spans="1:23" ht="68">
      <c r="A236" s="1055"/>
      <c r="B236" s="483">
        <v>249</v>
      </c>
      <c r="C236" s="484"/>
      <c r="D236" s="485" t="s">
        <v>347</v>
      </c>
      <c r="E236" s="464" t="s">
        <v>348</v>
      </c>
      <c r="F236" s="441" t="s">
        <v>768</v>
      </c>
      <c r="G236" s="465" t="s">
        <v>767</v>
      </c>
      <c r="H236" s="465" t="s">
        <v>767</v>
      </c>
      <c r="I236" s="465"/>
      <c r="J236" s="495"/>
      <c r="K236" s="495"/>
      <c r="L236" s="495"/>
      <c r="M236" s="495"/>
      <c r="N236" s="495"/>
      <c r="O236" s="495"/>
      <c r="P236" s="824"/>
      <c r="Q236" s="824"/>
      <c r="R236" s="824"/>
      <c r="S236" s="824"/>
      <c r="T236" s="824"/>
      <c r="U236" s="824"/>
      <c r="V236" s="824"/>
      <c r="W236" s="824"/>
    </row>
    <row r="237" spans="1:23" ht="29">
      <c r="A237" s="1055"/>
      <c r="B237" s="483">
        <v>250</v>
      </c>
      <c r="C237" s="484"/>
      <c r="D237" s="485"/>
      <c r="E237" s="464"/>
      <c r="F237" s="455"/>
      <c r="G237" s="465"/>
      <c r="H237" s="465"/>
      <c r="I237" s="465"/>
      <c r="J237" s="495"/>
      <c r="K237" s="495"/>
      <c r="L237" s="495"/>
      <c r="M237" s="495"/>
      <c r="N237" s="495"/>
      <c r="O237" s="495"/>
      <c r="P237" s="824"/>
      <c r="Q237" s="824"/>
      <c r="R237" s="824"/>
      <c r="S237" s="824"/>
      <c r="T237" s="824"/>
      <c r="U237" s="824"/>
      <c r="V237" s="824"/>
      <c r="W237" s="824"/>
    </row>
    <row r="238" spans="1:23" ht="80">
      <c r="A238" s="1055"/>
      <c r="B238" s="483">
        <v>251</v>
      </c>
      <c r="C238" s="484"/>
      <c r="D238" s="485" t="s">
        <v>349</v>
      </c>
      <c r="E238" s="464" t="s">
        <v>350</v>
      </c>
      <c r="F238" s="441" t="s">
        <v>765</v>
      </c>
      <c r="G238" s="456" t="s">
        <v>769</v>
      </c>
      <c r="H238" s="465" t="s">
        <v>767</v>
      </c>
      <c r="I238" s="465"/>
      <c r="J238" s="495"/>
      <c r="K238" s="495"/>
      <c r="L238" s="495"/>
      <c r="M238" s="495"/>
      <c r="N238" s="495"/>
      <c r="O238" s="495"/>
      <c r="P238" s="824"/>
      <c r="Q238" s="824"/>
      <c r="R238" s="824"/>
      <c r="S238" s="824"/>
      <c r="T238" s="824"/>
      <c r="U238" s="824"/>
      <c r="V238" s="824"/>
      <c r="W238" s="824"/>
    </row>
    <row r="239" spans="1:23" ht="51">
      <c r="A239" s="1055"/>
      <c r="B239" s="483">
        <v>252</v>
      </c>
      <c r="C239" s="484"/>
      <c r="D239" s="485" t="s">
        <v>351</v>
      </c>
      <c r="E239" s="486" t="s">
        <v>352</v>
      </c>
      <c r="F239" s="441" t="s">
        <v>762</v>
      </c>
      <c r="G239" s="465" t="s">
        <v>770</v>
      </c>
      <c r="H239" s="465" t="s">
        <v>767</v>
      </c>
      <c r="I239" s="465"/>
      <c r="J239" s="495"/>
      <c r="K239" s="495"/>
      <c r="L239" s="495"/>
      <c r="M239" s="495"/>
      <c r="N239" s="495"/>
      <c r="O239" s="495"/>
      <c r="P239" s="824"/>
      <c r="Q239" s="824"/>
      <c r="R239" s="824"/>
      <c r="S239" s="824"/>
      <c r="T239" s="824"/>
      <c r="U239" s="824"/>
      <c r="V239" s="824"/>
      <c r="W239" s="824"/>
    </row>
    <row r="240" spans="1:23" ht="51">
      <c r="A240" s="1055"/>
      <c r="B240" s="483">
        <v>253</v>
      </c>
      <c r="C240" s="484"/>
      <c r="D240" s="485" t="s">
        <v>353</v>
      </c>
      <c r="E240" s="464" t="s">
        <v>354</v>
      </c>
      <c r="F240" s="441" t="s">
        <v>771</v>
      </c>
      <c r="G240" s="465" t="s">
        <v>770</v>
      </c>
      <c r="H240" s="465" t="s">
        <v>767</v>
      </c>
      <c r="I240" s="465"/>
      <c r="J240" s="495"/>
      <c r="K240" s="495"/>
      <c r="L240" s="495"/>
      <c r="M240" s="495"/>
      <c r="N240" s="495"/>
      <c r="O240" s="495"/>
      <c r="P240" s="824"/>
      <c r="Q240" s="824"/>
      <c r="R240" s="824"/>
      <c r="S240" s="824"/>
      <c r="T240" s="824"/>
      <c r="U240" s="824"/>
      <c r="V240" s="824"/>
      <c r="W240" s="824"/>
    </row>
    <row r="241" spans="1:23" ht="29">
      <c r="A241" s="1055"/>
      <c r="B241" s="601">
        <v>254</v>
      </c>
      <c r="C241" s="602" t="s">
        <v>355</v>
      </c>
      <c r="D241" s="603"/>
      <c r="E241" s="497"/>
      <c r="F241" s="571"/>
      <c r="G241" s="572"/>
      <c r="H241" s="841"/>
      <c r="I241" s="841"/>
      <c r="J241" s="495"/>
      <c r="K241" s="495"/>
      <c r="L241" s="495"/>
      <c r="M241" s="495"/>
      <c r="N241" s="495"/>
      <c r="O241" s="495"/>
      <c r="P241" s="824"/>
      <c r="Q241" s="824"/>
      <c r="R241" s="824"/>
      <c r="S241" s="824"/>
      <c r="T241" s="824"/>
      <c r="U241" s="824"/>
      <c r="V241" s="824"/>
      <c r="W241" s="824"/>
    </row>
    <row r="242" spans="1:23" ht="372">
      <c r="A242" s="1055"/>
      <c r="B242" s="483">
        <v>255</v>
      </c>
      <c r="C242" s="484"/>
      <c r="D242" s="485" t="s">
        <v>356</v>
      </c>
      <c r="E242" s="464" t="s">
        <v>772</v>
      </c>
      <c r="F242" s="830" t="s">
        <v>773</v>
      </c>
      <c r="G242" s="441" t="s">
        <v>774</v>
      </c>
      <c r="H242" s="829" t="s">
        <v>775</v>
      </c>
      <c r="I242" s="829" t="s">
        <v>776</v>
      </c>
      <c r="J242" s="495"/>
      <c r="K242" s="495"/>
      <c r="L242" s="495"/>
      <c r="M242" s="495"/>
      <c r="N242" s="495"/>
      <c r="O242" s="495"/>
      <c r="P242" s="824"/>
      <c r="Q242" s="824"/>
      <c r="R242" s="824"/>
      <c r="S242" s="824"/>
      <c r="T242" s="824"/>
      <c r="U242" s="824"/>
      <c r="V242" s="824"/>
      <c r="W242" s="824"/>
    </row>
    <row r="243" spans="1:23" ht="51">
      <c r="A243" s="159"/>
      <c r="B243" s="483">
        <v>256</v>
      </c>
      <c r="C243" s="484"/>
      <c r="D243" s="485" t="s">
        <v>358</v>
      </c>
      <c r="E243" s="464" t="s">
        <v>777</v>
      </c>
      <c r="F243" s="830" t="s">
        <v>778</v>
      </c>
      <c r="G243" s="465" t="s">
        <v>779</v>
      </c>
      <c r="H243" s="465" t="s">
        <v>779</v>
      </c>
      <c r="I243" s="465" t="s">
        <v>779</v>
      </c>
      <c r="J243" s="495"/>
      <c r="K243" s="495"/>
      <c r="L243" s="495"/>
      <c r="M243" s="495"/>
      <c r="N243" s="495"/>
      <c r="O243" s="495"/>
      <c r="P243" s="824"/>
      <c r="Q243" s="824"/>
      <c r="R243" s="824"/>
      <c r="S243" s="824"/>
      <c r="T243" s="824"/>
      <c r="U243" s="824"/>
      <c r="V243" s="824"/>
      <c r="W243" s="824"/>
    </row>
    <row r="244" spans="1:23" ht="51">
      <c r="A244" s="1055"/>
      <c r="B244" s="483">
        <v>257</v>
      </c>
      <c r="C244" s="484"/>
      <c r="D244" s="485" t="s">
        <v>780</v>
      </c>
      <c r="E244" s="464" t="s">
        <v>781</v>
      </c>
      <c r="F244" s="830" t="s">
        <v>782</v>
      </c>
      <c r="G244" s="465" t="s">
        <v>779</v>
      </c>
      <c r="H244" s="465" t="s">
        <v>779</v>
      </c>
      <c r="I244" s="465" t="s">
        <v>779</v>
      </c>
      <c r="J244" s="495"/>
      <c r="K244" s="495"/>
      <c r="L244" s="495"/>
      <c r="M244" s="495"/>
      <c r="N244" s="495"/>
      <c r="O244" s="495"/>
      <c r="P244" s="824"/>
      <c r="Q244" s="824"/>
      <c r="R244" s="824"/>
      <c r="S244" s="824"/>
      <c r="T244" s="824"/>
      <c r="U244" s="824"/>
      <c r="V244" s="824"/>
      <c r="W244" s="824"/>
    </row>
    <row r="245" spans="1:23" ht="51">
      <c r="A245" s="1055"/>
      <c r="B245" s="483">
        <v>258</v>
      </c>
      <c r="C245" s="484"/>
      <c r="D245" s="485" t="s">
        <v>362</v>
      </c>
      <c r="E245" s="464" t="s">
        <v>783</v>
      </c>
      <c r="F245" s="830" t="s">
        <v>784</v>
      </c>
      <c r="G245" s="465" t="s">
        <v>779</v>
      </c>
      <c r="H245" s="465" t="s">
        <v>779</v>
      </c>
      <c r="I245" s="465" t="s">
        <v>779</v>
      </c>
      <c r="J245" s="495"/>
      <c r="K245" s="495"/>
      <c r="L245" s="495"/>
      <c r="M245" s="495"/>
      <c r="N245" s="495"/>
      <c r="O245" s="495"/>
      <c r="P245" s="824"/>
      <c r="Q245" s="824"/>
      <c r="R245" s="824"/>
      <c r="S245" s="824"/>
      <c r="T245" s="824"/>
      <c r="U245" s="824"/>
      <c r="V245" s="824"/>
      <c r="W245" s="824"/>
    </row>
    <row r="246" spans="1:23" ht="51">
      <c r="A246" s="159"/>
      <c r="B246" s="483">
        <v>259</v>
      </c>
      <c r="C246" s="484"/>
      <c r="D246" s="485" t="s">
        <v>364</v>
      </c>
      <c r="E246" s="464" t="s">
        <v>785</v>
      </c>
      <c r="F246" s="830" t="s">
        <v>786</v>
      </c>
      <c r="G246" s="465" t="s">
        <v>779</v>
      </c>
      <c r="H246" s="465" t="s">
        <v>779</v>
      </c>
      <c r="I246" s="465" t="s">
        <v>779</v>
      </c>
      <c r="J246" s="495"/>
      <c r="K246" s="495"/>
      <c r="L246" s="495"/>
      <c r="M246" s="495"/>
      <c r="N246" s="495"/>
      <c r="O246" s="495"/>
      <c r="P246" s="824"/>
      <c r="Q246" s="824"/>
      <c r="R246" s="824"/>
      <c r="S246" s="824"/>
      <c r="T246" s="824"/>
      <c r="U246" s="824"/>
      <c r="V246" s="824"/>
      <c r="W246" s="824"/>
    </row>
    <row r="247" spans="1:23" ht="51">
      <c r="A247" s="1055"/>
      <c r="B247" s="483">
        <v>260</v>
      </c>
      <c r="C247" s="484"/>
      <c r="D247" s="485" t="s">
        <v>366</v>
      </c>
      <c r="E247" s="464" t="s">
        <v>787</v>
      </c>
      <c r="F247" s="830" t="s">
        <v>788</v>
      </c>
      <c r="G247" s="465" t="s">
        <v>779</v>
      </c>
      <c r="H247" s="465" t="s">
        <v>779</v>
      </c>
      <c r="I247" s="465" t="s">
        <v>779</v>
      </c>
      <c r="J247" s="495"/>
      <c r="K247" s="495"/>
      <c r="L247" s="495"/>
      <c r="M247" s="495"/>
      <c r="N247" s="495"/>
      <c r="O247" s="495"/>
      <c r="P247" s="824"/>
      <c r="Q247" s="824"/>
      <c r="R247" s="824"/>
      <c r="S247" s="824"/>
      <c r="T247" s="824"/>
      <c r="U247" s="824"/>
      <c r="V247" s="824"/>
      <c r="W247" s="824"/>
    </row>
    <row r="248" spans="1:23" ht="51">
      <c r="A248" s="1055"/>
      <c r="B248" s="483">
        <v>261</v>
      </c>
      <c r="C248" s="484"/>
      <c r="D248" s="485" t="s">
        <v>368</v>
      </c>
      <c r="E248" s="464" t="s">
        <v>789</v>
      </c>
      <c r="F248" s="830" t="s">
        <v>790</v>
      </c>
      <c r="G248" s="465" t="s">
        <v>779</v>
      </c>
      <c r="H248" s="465" t="s">
        <v>779</v>
      </c>
      <c r="I248" s="465" t="s">
        <v>779</v>
      </c>
      <c r="J248" s="495"/>
      <c r="K248" s="495"/>
      <c r="L248" s="495"/>
      <c r="M248" s="495"/>
      <c r="N248" s="495"/>
      <c r="O248" s="495"/>
      <c r="P248" s="824"/>
      <c r="Q248" s="824"/>
      <c r="R248" s="824"/>
      <c r="S248" s="824"/>
      <c r="T248" s="824"/>
      <c r="U248" s="824"/>
      <c r="V248" s="824"/>
      <c r="W248" s="824"/>
    </row>
    <row r="249" spans="1:23" ht="68">
      <c r="A249" s="1055"/>
      <c r="B249" s="483">
        <v>262</v>
      </c>
      <c r="C249" s="484"/>
      <c r="D249" s="485" t="s">
        <v>370</v>
      </c>
      <c r="E249" s="464" t="s">
        <v>371</v>
      </c>
      <c r="F249" s="573" t="s">
        <v>791</v>
      </c>
      <c r="G249" s="465" t="s">
        <v>779</v>
      </c>
      <c r="H249" s="465" t="s">
        <v>779</v>
      </c>
      <c r="I249" s="465" t="s">
        <v>779</v>
      </c>
      <c r="J249" s="495"/>
      <c r="K249" s="495"/>
      <c r="L249" s="495"/>
      <c r="M249" s="495"/>
      <c r="N249" s="495"/>
      <c r="O249" s="495"/>
      <c r="P249" s="824"/>
      <c r="Q249" s="824"/>
      <c r="R249" s="824"/>
      <c r="S249" s="824"/>
      <c r="T249" s="824"/>
      <c r="U249" s="824"/>
      <c r="V249" s="824"/>
      <c r="W249" s="824"/>
    </row>
    <row r="250" spans="1:23" ht="68">
      <c r="A250" s="1055"/>
      <c r="B250" s="483">
        <v>263</v>
      </c>
      <c r="C250" s="484"/>
      <c r="D250" s="485" t="s">
        <v>372</v>
      </c>
      <c r="E250" s="464" t="s">
        <v>373</v>
      </c>
      <c r="F250" s="573" t="s">
        <v>792</v>
      </c>
      <c r="G250" s="465" t="s">
        <v>779</v>
      </c>
      <c r="H250" s="465" t="s">
        <v>779</v>
      </c>
      <c r="I250" s="465" t="s">
        <v>779</v>
      </c>
      <c r="J250" s="495"/>
      <c r="K250" s="495"/>
      <c r="L250" s="495"/>
      <c r="M250" s="495"/>
      <c r="N250" s="495"/>
      <c r="O250" s="495"/>
      <c r="P250" s="824"/>
      <c r="Q250" s="824"/>
      <c r="R250" s="824"/>
      <c r="S250" s="824"/>
      <c r="T250" s="824"/>
      <c r="U250" s="824"/>
      <c r="V250" s="824"/>
      <c r="W250" s="824"/>
    </row>
    <row r="251" spans="1:23" s="457" customFormat="1" ht="388">
      <c r="A251" s="1055"/>
      <c r="B251" s="604">
        <v>264</v>
      </c>
      <c r="C251" s="602" t="s">
        <v>374</v>
      </c>
      <c r="D251" s="603"/>
      <c r="E251" s="498"/>
      <c r="F251" s="498"/>
      <c r="G251" s="498" t="s">
        <v>793</v>
      </c>
      <c r="H251" s="842" t="s">
        <v>794</v>
      </c>
      <c r="I251" s="842" t="s">
        <v>795</v>
      </c>
      <c r="J251" s="465"/>
      <c r="K251" s="465"/>
      <c r="L251" s="465"/>
      <c r="M251" s="465"/>
      <c r="N251" s="465"/>
      <c r="O251" s="465"/>
      <c r="P251" s="830"/>
      <c r="Q251" s="830"/>
      <c r="R251" s="830"/>
      <c r="S251" s="830"/>
      <c r="T251" s="830"/>
      <c r="U251" s="830"/>
      <c r="V251" s="830"/>
      <c r="W251" s="830"/>
    </row>
    <row r="252" spans="1:23" ht="51">
      <c r="A252" s="1055"/>
      <c r="B252" s="483">
        <v>265</v>
      </c>
      <c r="C252" s="484"/>
      <c r="D252" s="485" t="s">
        <v>356</v>
      </c>
      <c r="E252" s="464" t="s">
        <v>796</v>
      </c>
      <c r="F252" s="830" t="s">
        <v>797</v>
      </c>
      <c r="G252" s="465" t="s">
        <v>798</v>
      </c>
      <c r="H252" s="465" t="s">
        <v>798</v>
      </c>
      <c r="I252" s="465" t="s">
        <v>798</v>
      </c>
      <c r="J252" s="495"/>
      <c r="K252" s="495"/>
      <c r="L252" s="495"/>
      <c r="M252" s="495"/>
      <c r="N252" s="495"/>
      <c r="O252" s="495"/>
      <c r="P252" s="824"/>
      <c r="Q252" s="824"/>
      <c r="R252" s="824"/>
      <c r="S252" s="824"/>
      <c r="T252" s="824"/>
      <c r="U252" s="824"/>
      <c r="V252" s="824"/>
      <c r="W252" s="824"/>
    </row>
    <row r="253" spans="1:23" ht="51">
      <c r="A253" s="1055"/>
      <c r="B253" s="483">
        <v>266</v>
      </c>
      <c r="C253" s="484"/>
      <c r="D253" s="485" t="s">
        <v>358</v>
      </c>
      <c r="E253" s="464" t="s">
        <v>799</v>
      </c>
      <c r="F253" s="830" t="s">
        <v>800</v>
      </c>
      <c r="G253" s="465" t="s">
        <v>798</v>
      </c>
      <c r="H253" s="465" t="s">
        <v>798</v>
      </c>
      <c r="I253" s="465" t="s">
        <v>798</v>
      </c>
      <c r="J253" s="495"/>
      <c r="K253" s="495"/>
      <c r="L253" s="495"/>
      <c r="M253" s="495"/>
      <c r="N253" s="495"/>
      <c r="O253" s="495"/>
      <c r="P253" s="824"/>
      <c r="Q253" s="824"/>
      <c r="R253" s="824"/>
      <c r="S253" s="824"/>
      <c r="T253" s="824"/>
      <c r="U253" s="824"/>
      <c r="V253" s="824"/>
      <c r="W253" s="824"/>
    </row>
    <row r="254" spans="1:23" ht="34">
      <c r="A254" s="376"/>
      <c r="B254" s="483">
        <v>267</v>
      </c>
      <c r="C254" s="484"/>
      <c r="D254" s="485" t="s">
        <v>780</v>
      </c>
      <c r="E254" s="464" t="s">
        <v>801</v>
      </c>
      <c r="F254" s="830" t="s">
        <v>802</v>
      </c>
      <c r="G254" s="465" t="s">
        <v>798</v>
      </c>
      <c r="H254" s="465" t="s">
        <v>798</v>
      </c>
      <c r="I254" s="465" t="s">
        <v>798</v>
      </c>
      <c r="J254" s="495"/>
      <c r="K254" s="495"/>
      <c r="L254" s="495"/>
      <c r="M254" s="495"/>
      <c r="N254" s="495"/>
      <c r="O254" s="495"/>
      <c r="P254" s="824"/>
      <c r="Q254" s="824"/>
      <c r="R254" s="824"/>
      <c r="S254" s="824"/>
      <c r="T254" s="824"/>
      <c r="U254" s="824"/>
      <c r="V254" s="824"/>
      <c r="W254" s="824"/>
    </row>
    <row r="255" spans="1:23" ht="34">
      <c r="B255" s="483">
        <v>268</v>
      </c>
      <c r="C255" s="484"/>
      <c r="D255" s="485" t="s">
        <v>362</v>
      </c>
      <c r="E255" s="464" t="s">
        <v>803</v>
      </c>
      <c r="F255" s="830" t="s">
        <v>804</v>
      </c>
      <c r="G255" s="465" t="s">
        <v>798</v>
      </c>
      <c r="H255" s="465" t="s">
        <v>798</v>
      </c>
      <c r="I255" s="465" t="s">
        <v>798</v>
      </c>
      <c r="J255" s="495"/>
      <c r="K255" s="495"/>
      <c r="L255" s="495"/>
      <c r="M255" s="495"/>
      <c r="N255" s="495"/>
      <c r="O255" s="495"/>
      <c r="P255" s="824"/>
      <c r="Q255" s="824"/>
      <c r="R255" s="824"/>
      <c r="S255" s="824"/>
      <c r="T255" s="824"/>
      <c r="U255" s="824"/>
      <c r="V255" s="824"/>
      <c r="W255" s="824"/>
    </row>
    <row r="256" spans="1:23" ht="34">
      <c r="B256" s="483">
        <v>269</v>
      </c>
      <c r="C256" s="484"/>
      <c r="D256" s="485" t="s">
        <v>364</v>
      </c>
      <c r="E256" s="464" t="s">
        <v>805</v>
      </c>
      <c r="F256" s="830" t="s">
        <v>806</v>
      </c>
      <c r="G256" s="465" t="s">
        <v>798</v>
      </c>
      <c r="H256" s="465" t="s">
        <v>798</v>
      </c>
      <c r="I256" s="465" t="s">
        <v>798</v>
      </c>
      <c r="J256" s="495"/>
      <c r="K256" s="495"/>
      <c r="L256" s="495"/>
      <c r="M256" s="495"/>
      <c r="N256" s="495"/>
      <c r="O256" s="495"/>
      <c r="P256" s="824"/>
      <c r="Q256" s="824"/>
      <c r="R256" s="824"/>
      <c r="S256" s="824"/>
      <c r="T256" s="824"/>
      <c r="U256" s="824"/>
      <c r="V256" s="824"/>
      <c r="W256" s="824"/>
    </row>
    <row r="257" spans="1:23" ht="34">
      <c r="B257" s="483">
        <v>270</v>
      </c>
      <c r="C257" s="484"/>
      <c r="D257" s="485" t="s">
        <v>366</v>
      </c>
      <c r="E257" s="464" t="s">
        <v>807</v>
      </c>
      <c r="F257" s="830" t="s">
        <v>808</v>
      </c>
      <c r="G257" s="465" t="s">
        <v>798</v>
      </c>
      <c r="H257" s="465" t="s">
        <v>798</v>
      </c>
      <c r="I257" s="465" t="s">
        <v>798</v>
      </c>
      <c r="J257" s="495"/>
      <c r="K257" s="495"/>
      <c r="L257" s="495"/>
      <c r="M257" s="495"/>
      <c r="N257" s="495"/>
      <c r="O257" s="495"/>
      <c r="P257" s="824"/>
      <c r="Q257" s="824"/>
      <c r="R257" s="824"/>
      <c r="S257" s="824"/>
      <c r="T257" s="824"/>
      <c r="U257" s="824"/>
      <c r="V257" s="824"/>
      <c r="W257" s="824"/>
    </row>
    <row r="258" spans="1:23" ht="34">
      <c r="B258" s="483">
        <v>271</v>
      </c>
      <c r="C258" s="484"/>
      <c r="D258" s="485" t="s">
        <v>368</v>
      </c>
      <c r="E258" s="464" t="s">
        <v>809</v>
      </c>
      <c r="F258" s="830" t="s">
        <v>810</v>
      </c>
      <c r="G258" s="465" t="s">
        <v>798</v>
      </c>
      <c r="H258" s="465" t="s">
        <v>798</v>
      </c>
      <c r="I258" s="465" t="s">
        <v>798</v>
      </c>
      <c r="J258" s="495"/>
      <c r="K258" s="495"/>
      <c r="L258" s="495"/>
      <c r="M258" s="495"/>
      <c r="N258" s="495"/>
      <c r="O258" s="495"/>
      <c r="P258" s="824"/>
      <c r="Q258" s="824"/>
      <c r="R258" s="824"/>
      <c r="S258" s="824"/>
      <c r="T258" s="824"/>
      <c r="U258" s="824"/>
      <c r="V258" s="824"/>
      <c r="W258" s="824"/>
    </row>
    <row r="259" spans="1:23" ht="68">
      <c r="B259" s="483">
        <v>272</v>
      </c>
      <c r="C259" s="484"/>
      <c r="D259" s="485" t="s">
        <v>370</v>
      </c>
      <c r="E259" s="464" t="s">
        <v>382</v>
      </c>
      <c r="F259" s="573" t="s">
        <v>811</v>
      </c>
      <c r="G259" s="465" t="s">
        <v>798</v>
      </c>
      <c r="H259" s="465" t="s">
        <v>798</v>
      </c>
      <c r="I259" s="465" t="s">
        <v>798</v>
      </c>
      <c r="J259" s="495"/>
      <c r="K259" s="495"/>
      <c r="L259" s="495"/>
      <c r="M259" s="495"/>
      <c r="N259" s="495"/>
      <c r="O259" s="495"/>
      <c r="P259" s="824"/>
      <c r="Q259" s="824"/>
      <c r="R259" s="824"/>
      <c r="S259" s="824"/>
      <c r="T259" s="824"/>
      <c r="U259" s="824"/>
      <c r="V259" s="824"/>
      <c r="W259" s="824"/>
    </row>
    <row r="260" spans="1:23" ht="68">
      <c r="B260" s="483">
        <v>273</v>
      </c>
      <c r="C260" s="484"/>
      <c r="D260" s="485" t="s">
        <v>372</v>
      </c>
      <c r="E260" s="464" t="s">
        <v>383</v>
      </c>
      <c r="F260" s="573" t="s">
        <v>812</v>
      </c>
      <c r="G260" s="465" t="s">
        <v>798</v>
      </c>
      <c r="H260" s="465" t="s">
        <v>798</v>
      </c>
      <c r="I260" s="465" t="s">
        <v>798</v>
      </c>
      <c r="J260" s="495"/>
      <c r="K260" s="495"/>
      <c r="L260" s="495"/>
      <c r="M260" s="495"/>
      <c r="N260" s="495"/>
      <c r="O260" s="495"/>
      <c r="P260" s="824"/>
      <c r="Q260" s="824"/>
      <c r="R260" s="824"/>
      <c r="S260" s="824"/>
      <c r="T260" s="824"/>
      <c r="U260" s="824"/>
      <c r="V260" s="824"/>
      <c r="W260" s="824"/>
    </row>
    <row r="261" spans="1:23" ht="29">
      <c r="B261" s="604">
        <v>274</v>
      </c>
      <c r="C261" s="602" t="s">
        <v>384</v>
      </c>
      <c r="D261" s="603"/>
      <c r="E261" s="498"/>
      <c r="F261" s="498"/>
      <c r="G261" s="498"/>
      <c r="H261" s="499"/>
      <c r="I261" s="499"/>
      <c r="J261" s="495"/>
      <c r="K261" s="495"/>
      <c r="L261" s="495"/>
      <c r="M261" s="495"/>
      <c r="N261" s="495"/>
      <c r="O261" s="495"/>
      <c r="P261" s="824"/>
      <c r="Q261" s="824"/>
      <c r="R261" s="824"/>
      <c r="S261" s="824"/>
      <c r="T261" s="824"/>
      <c r="U261" s="824"/>
      <c r="V261" s="824"/>
      <c r="W261" s="824"/>
    </row>
    <row r="262" spans="1:23" ht="68">
      <c r="B262" s="483">
        <v>275</v>
      </c>
      <c r="C262" s="484"/>
      <c r="D262" s="485" t="s">
        <v>385</v>
      </c>
      <c r="E262" s="464" t="s">
        <v>387</v>
      </c>
      <c r="F262" s="830" t="s">
        <v>813</v>
      </c>
      <c r="G262" s="830" t="s">
        <v>814</v>
      </c>
      <c r="H262" s="465"/>
      <c r="I262" s="465"/>
      <c r="J262" s="495"/>
      <c r="K262" s="495"/>
      <c r="L262" s="495"/>
      <c r="M262" s="495"/>
      <c r="N262" s="495"/>
      <c r="O262" s="495"/>
      <c r="P262" s="824"/>
      <c r="Q262" s="824"/>
      <c r="R262" s="824"/>
      <c r="S262" s="824"/>
      <c r="T262" s="824"/>
      <c r="U262" s="824"/>
      <c r="V262" s="824"/>
      <c r="W262" s="824"/>
    </row>
    <row r="263" spans="1:23" ht="51">
      <c r="B263" s="483">
        <v>276</v>
      </c>
      <c r="C263" s="484"/>
      <c r="D263" s="485" t="s">
        <v>388</v>
      </c>
      <c r="E263" s="464" t="s">
        <v>389</v>
      </c>
      <c r="F263" s="830" t="s">
        <v>815</v>
      </c>
      <c r="G263" s="465" t="s">
        <v>816</v>
      </c>
      <c r="H263" s="465" t="s">
        <v>816</v>
      </c>
      <c r="I263" s="465"/>
      <c r="J263" s="495"/>
      <c r="K263" s="495"/>
      <c r="L263" s="495"/>
      <c r="M263" s="495"/>
      <c r="N263" s="495"/>
      <c r="O263" s="495"/>
      <c r="P263" s="824"/>
      <c r="Q263" s="824"/>
      <c r="R263" s="824"/>
      <c r="S263" s="824"/>
      <c r="T263" s="824"/>
      <c r="U263" s="824"/>
      <c r="V263" s="824"/>
      <c r="W263" s="824"/>
    </row>
    <row r="264" spans="1:23" ht="51">
      <c r="A264" s="158"/>
      <c r="B264" s="483">
        <v>277</v>
      </c>
      <c r="C264" s="484"/>
      <c r="D264" s="485" t="s">
        <v>390</v>
      </c>
      <c r="E264" s="464" t="s">
        <v>391</v>
      </c>
      <c r="F264" s="830" t="s">
        <v>817</v>
      </c>
      <c r="G264" s="465" t="s">
        <v>816</v>
      </c>
      <c r="H264" s="465" t="s">
        <v>816</v>
      </c>
      <c r="I264" s="465"/>
      <c r="J264" s="495"/>
      <c r="K264" s="495"/>
      <c r="L264" s="495"/>
      <c r="M264" s="495"/>
      <c r="N264" s="495"/>
      <c r="O264" s="495"/>
      <c r="P264" s="824"/>
      <c r="Q264" s="824"/>
      <c r="R264" s="824"/>
      <c r="S264" s="824"/>
      <c r="T264" s="824"/>
      <c r="U264" s="824"/>
      <c r="V264" s="824"/>
      <c r="W264" s="824"/>
    </row>
    <row r="265" spans="1:23" ht="29">
      <c r="B265" s="468"/>
      <c r="C265" s="458"/>
      <c r="D265" s="469" t="e" vm="1">
        <v>#VALUE!</v>
      </c>
      <c r="E265" s="459"/>
      <c r="F265" s="451"/>
      <c r="G265" s="495"/>
      <c r="H265" s="495"/>
      <c r="I265" s="495"/>
      <c r="J265" s="495"/>
      <c r="K265" s="495"/>
      <c r="L265" s="495"/>
      <c r="M265" s="495"/>
      <c r="N265" s="495"/>
      <c r="O265" s="495"/>
      <c r="P265" s="824"/>
      <c r="Q265" s="824"/>
      <c r="R265" s="824"/>
      <c r="S265" s="824"/>
      <c r="T265" s="824"/>
      <c r="U265" s="824"/>
      <c r="V265" s="824"/>
      <c r="W265" s="824"/>
    </row>
    <row r="266" spans="1:23" s="457" customFormat="1" ht="204">
      <c r="A266" s="154"/>
      <c r="B266" s="518">
        <v>279</v>
      </c>
      <c r="C266" s="519" t="s">
        <v>392</v>
      </c>
      <c r="D266" s="520"/>
      <c r="E266" s="520"/>
      <c r="F266" s="520"/>
      <c r="G266" s="522" t="s">
        <v>818</v>
      </c>
      <c r="H266" s="843" t="s">
        <v>819</v>
      </c>
      <c r="I266" s="843" t="s">
        <v>820</v>
      </c>
      <c r="J266" s="465"/>
      <c r="K266" s="465"/>
      <c r="L266" s="465"/>
      <c r="M266" s="465"/>
      <c r="N266" s="465"/>
      <c r="O266" s="465"/>
      <c r="P266" s="830"/>
      <c r="Q266" s="830"/>
      <c r="R266" s="830"/>
      <c r="S266" s="830"/>
      <c r="T266" s="830"/>
      <c r="U266" s="830"/>
      <c r="V266" s="830"/>
      <c r="W266" s="830"/>
    </row>
    <row r="267" spans="1:23" s="457" customFormat="1" ht="51">
      <c r="A267" s="154"/>
      <c r="B267" s="518">
        <v>280</v>
      </c>
      <c r="C267" s="523"/>
      <c r="D267" s="521" t="s">
        <v>393</v>
      </c>
      <c r="E267" s="464" t="s">
        <v>394</v>
      </c>
      <c r="F267" s="829" t="s">
        <v>821</v>
      </c>
      <c r="G267" s="465" t="s">
        <v>822</v>
      </c>
      <c r="H267" s="465" t="s">
        <v>822</v>
      </c>
      <c r="I267" s="465" t="s">
        <v>822</v>
      </c>
      <c r="J267" s="465"/>
      <c r="K267" s="465"/>
      <c r="L267" s="465"/>
      <c r="M267" s="465"/>
      <c r="N267" s="465"/>
      <c r="O267" s="465"/>
      <c r="P267" s="830"/>
      <c r="Q267" s="830"/>
      <c r="R267" s="830"/>
      <c r="S267" s="830"/>
      <c r="T267" s="830"/>
      <c r="U267" s="830"/>
      <c r="V267" s="830"/>
      <c r="W267" s="830"/>
    </row>
    <row r="268" spans="1:23" s="457" customFormat="1" ht="51">
      <c r="A268" s="154"/>
      <c r="B268" s="518">
        <v>281</v>
      </c>
      <c r="C268" s="523"/>
      <c r="D268" s="521" t="s">
        <v>395</v>
      </c>
      <c r="E268" s="464" t="s">
        <v>823</v>
      </c>
      <c r="F268" s="829" t="s">
        <v>824</v>
      </c>
      <c r="G268" s="465" t="s">
        <v>822</v>
      </c>
      <c r="H268" s="465" t="s">
        <v>822</v>
      </c>
      <c r="I268" s="465" t="s">
        <v>822</v>
      </c>
      <c r="J268" s="465"/>
      <c r="K268" s="465"/>
      <c r="L268" s="465"/>
      <c r="M268" s="465"/>
      <c r="N268" s="465"/>
      <c r="O268" s="465"/>
      <c r="P268" s="830"/>
      <c r="Q268" s="830"/>
      <c r="R268" s="830"/>
      <c r="S268" s="830"/>
      <c r="T268" s="830"/>
      <c r="U268" s="830"/>
      <c r="V268" s="830"/>
      <c r="W268" s="830"/>
    </row>
    <row r="269" spans="1:23" s="457" customFormat="1" ht="29">
      <c r="A269" s="154"/>
      <c r="B269" s="518">
        <v>282</v>
      </c>
      <c r="C269" s="523"/>
      <c r="D269" s="521" t="s">
        <v>397</v>
      </c>
      <c r="E269" s="464" t="s">
        <v>825</v>
      </c>
      <c r="F269" s="830" t="s">
        <v>826</v>
      </c>
      <c r="G269" s="465" t="s">
        <v>822</v>
      </c>
      <c r="H269" s="465" t="s">
        <v>822</v>
      </c>
      <c r="I269" s="465" t="s">
        <v>822</v>
      </c>
      <c r="J269" s="465"/>
      <c r="K269" s="465"/>
      <c r="L269" s="465"/>
      <c r="M269" s="465"/>
      <c r="N269" s="465"/>
      <c r="O269" s="465"/>
      <c r="P269" s="830"/>
      <c r="Q269" s="830"/>
      <c r="R269" s="830"/>
      <c r="S269" s="830"/>
      <c r="T269" s="830"/>
      <c r="U269" s="830"/>
      <c r="V269" s="830"/>
      <c r="W269" s="830"/>
    </row>
    <row r="270" spans="1:23" s="457" customFormat="1" ht="34">
      <c r="A270" s="154"/>
      <c r="B270" s="518">
        <v>283</v>
      </c>
      <c r="C270" s="523"/>
      <c r="D270" s="521" t="s">
        <v>399</v>
      </c>
      <c r="E270" s="464" t="s">
        <v>827</v>
      </c>
      <c r="F270" s="455" t="s">
        <v>828</v>
      </c>
      <c r="G270" s="465" t="s">
        <v>822</v>
      </c>
      <c r="H270" s="465" t="s">
        <v>822</v>
      </c>
      <c r="I270" s="465" t="s">
        <v>822</v>
      </c>
      <c r="J270" s="465"/>
      <c r="K270" s="465"/>
      <c r="L270" s="465"/>
      <c r="M270" s="465"/>
      <c r="N270" s="465"/>
      <c r="O270" s="465"/>
      <c r="P270" s="830"/>
      <c r="Q270" s="830"/>
      <c r="R270" s="830"/>
      <c r="S270" s="830"/>
      <c r="T270" s="830"/>
      <c r="U270" s="830"/>
      <c r="V270" s="830"/>
      <c r="W270" s="830"/>
    </row>
    <row r="271" spans="1:23" s="457" customFormat="1" ht="51">
      <c r="A271" s="154"/>
      <c r="B271" s="518">
        <v>284</v>
      </c>
      <c r="C271" s="523"/>
      <c r="D271" s="521" t="s">
        <v>585</v>
      </c>
      <c r="E271" s="464" t="s">
        <v>829</v>
      </c>
      <c r="F271" s="455" t="s">
        <v>830</v>
      </c>
      <c r="G271" s="465" t="s">
        <v>822</v>
      </c>
      <c r="H271" s="465" t="s">
        <v>822</v>
      </c>
      <c r="I271" s="465" t="s">
        <v>822</v>
      </c>
      <c r="J271" s="465"/>
      <c r="K271" s="465"/>
      <c r="L271" s="465"/>
      <c r="M271" s="465"/>
      <c r="N271" s="465"/>
      <c r="O271" s="465"/>
      <c r="P271" s="830"/>
      <c r="Q271" s="830"/>
      <c r="R271" s="830"/>
      <c r="S271" s="830"/>
      <c r="T271" s="830"/>
      <c r="U271" s="830"/>
      <c r="V271" s="830"/>
      <c r="W271" s="830"/>
    </row>
    <row r="272" spans="1:23" ht="29">
      <c r="B272" s="468"/>
      <c r="C272" s="458"/>
      <c r="D272" s="469" t="e" vm="1">
        <v>#VALUE!</v>
      </c>
      <c r="E272" s="459"/>
      <c r="F272" s="451"/>
      <c r="G272" s="495"/>
      <c r="H272" s="495"/>
      <c r="I272" s="495"/>
      <c r="J272" s="495"/>
      <c r="K272" s="495"/>
      <c r="L272" s="495"/>
      <c r="M272" s="495"/>
      <c r="N272" s="495"/>
      <c r="O272" s="495"/>
      <c r="P272" s="824"/>
      <c r="Q272" s="824"/>
      <c r="R272" s="824"/>
      <c r="S272" s="824"/>
      <c r="T272" s="824"/>
      <c r="U272" s="824"/>
      <c r="V272" s="824"/>
      <c r="W272" s="824"/>
    </row>
    <row r="273" spans="1:23" ht="29">
      <c r="B273" s="501">
        <v>286</v>
      </c>
      <c r="C273" s="524" t="s">
        <v>403</v>
      </c>
      <c r="D273" s="502"/>
      <c r="E273" s="501"/>
      <c r="F273" s="525"/>
      <c r="G273" s="525"/>
      <c r="H273" s="525"/>
      <c r="I273" s="525"/>
      <c r="J273" s="495"/>
      <c r="K273" s="495"/>
      <c r="L273" s="495"/>
      <c r="M273" s="495"/>
      <c r="N273" s="495"/>
      <c r="O273" s="495"/>
      <c r="P273" s="824"/>
      <c r="Q273" s="824"/>
      <c r="R273" s="824"/>
      <c r="S273" s="824"/>
      <c r="T273" s="824"/>
      <c r="U273" s="824"/>
      <c r="V273" s="824"/>
      <c r="W273" s="824"/>
    </row>
    <row r="274" spans="1:23" ht="193" customHeight="1">
      <c r="A274" s="158"/>
      <c r="B274" s="501">
        <v>287</v>
      </c>
      <c r="C274" s="503"/>
      <c r="D274" s="502"/>
      <c r="E274" s="1221" t="s">
        <v>831</v>
      </c>
      <c r="F274" s="1221"/>
      <c r="G274" s="528"/>
      <c r="H274" s="527"/>
      <c r="I274" s="527"/>
      <c r="J274" s="495"/>
      <c r="K274" s="495"/>
      <c r="L274" s="495"/>
      <c r="M274" s="495"/>
      <c r="N274" s="495"/>
      <c r="O274" s="495"/>
      <c r="P274" s="824"/>
      <c r="Q274" s="824"/>
      <c r="R274" s="824"/>
      <c r="S274" s="824"/>
      <c r="T274" s="824"/>
      <c r="U274" s="824"/>
      <c r="V274" s="824"/>
      <c r="W274" s="824"/>
    </row>
    <row r="275" spans="1:23" s="457" customFormat="1" ht="289">
      <c r="A275" s="154"/>
      <c r="B275" s="526">
        <v>288</v>
      </c>
      <c r="C275" s="504" t="s">
        <v>405</v>
      </c>
      <c r="D275" s="505"/>
      <c r="E275" s="526"/>
      <c r="F275" s="526"/>
      <c r="G275" s="844" t="s">
        <v>832</v>
      </c>
      <c r="H275" s="844" t="s">
        <v>833</v>
      </c>
      <c r="I275" s="844" t="s">
        <v>834</v>
      </c>
      <c r="J275" s="465"/>
      <c r="K275" s="465"/>
      <c r="L275" s="465"/>
      <c r="M275" s="465"/>
      <c r="N275" s="465"/>
      <c r="O275" s="465"/>
      <c r="P275" s="830"/>
      <c r="Q275" s="830"/>
      <c r="R275" s="830"/>
      <c r="S275" s="830"/>
      <c r="T275" s="830"/>
      <c r="U275" s="830"/>
      <c r="V275" s="830"/>
      <c r="W275" s="830"/>
    </row>
    <row r="276" spans="1:23" s="457" customFormat="1" ht="29">
      <c r="A276" s="154"/>
      <c r="B276" s="406">
        <v>289</v>
      </c>
      <c r="C276" s="257" t="s">
        <v>835</v>
      </c>
      <c r="D276" s="150"/>
      <c r="E276" s="150"/>
      <c r="F276" s="539"/>
      <c r="G276" s="539"/>
      <c r="H276" s="539"/>
      <c r="I276" s="539"/>
      <c r="J276" s="465"/>
      <c r="K276" s="465"/>
      <c r="L276" s="465"/>
      <c r="M276" s="465"/>
      <c r="N276" s="465"/>
      <c r="O276" s="465"/>
      <c r="P276" s="830"/>
      <c r="Q276" s="830"/>
      <c r="R276" s="830"/>
      <c r="S276" s="830"/>
      <c r="T276" s="830"/>
      <c r="U276" s="830"/>
      <c r="V276" s="830"/>
      <c r="W276" s="830"/>
    </row>
    <row r="277" spans="1:23" s="457" customFormat="1" ht="34">
      <c r="A277" s="154"/>
      <c r="B277" s="534">
        <v>290</v>
      </c>
      <c r="C277" s="533"/>
      <c r="D277" s="535" t="s">
        <v>409</v>
      </c>
      <c r="E277" s="464" t="s">
        <v>836</v>
      </c>
      <c r="F277" s="829" t="s">
        <v>837</v>
      </c>
      <c r="G277" s="465" t="s">
        <v>838</v>
      </c>
      <c r="H277" s="465" t="s">
        <v>838</v>
      </c>
      <c r="I277" s="465"/>
      <c r="J277" s="465"/>
      <c r="K277" s="465"/>
      <c r="L277" s="465"/>
      <c r="M277" s="465"/>
      <c r="N277" s="465"/>
      <c r="O277" s="465"/>
      <c r="P277" s="830"/>
      <c r="Q277" s="830"/>
      <c r="R277" s="830"/>
      <c r="S277" s="830"/>
      <c r="T277" s="830"/>
      <c r="U277" s="830"/>
      <c r="V277" s="830"/>
      <c r="W277" s="830"/>
    </row>
    <row r="278" spans="1:23" s="457" customFormat="1" ht="34">
      <c r="A278" s="154"/>
      <c r="B278" s="534">
        <v>291</v>
      </c>
      <c r="C278" s="533"/>
      <c r="D278" s="535" t="s">
        <v>411</v>
      </c>
      <c r="E278" s="464" t="s">
        <v>839</v>
      </c>
      <c r="F278" s="829" t="s">
        <v>840</v>
      </c>
      <c r="G278" s="465" t="s">
        <v>838</v>
      </c>
      <c r="H278" s="465" t="s">
        <v>838</v>
      </c>
      <c r="I278" s="465"/>
      <c r="J278" s="465"/>
      <c r="K278" s="465"/>
      <c r="L278" s="465"/>
      <c r="M278" s="465"/>
      <c r="N278" s="465"/>
      <c r="O278" s="465"/>
      <c r="P278" s="830"/>
      <c r="Q278" s="830"/>
      <c r="R278" s="830"/>
      <c r="S278" s="830"/>
      <c r="T278" s="830"/>
      <c r="U278" s="830"/>
      <c r="V278" s="830"/>
      <c r="W278" s="830"/>
    </row>
    <row r="279" spans="1:23" s="457" customFormat="1" ht="34">
      <c r="A279" s="157"/>
      <c r="B279" s="534">
        <v>292</v>
      </c>
      <c r="C279" s="533"/>
      <c r="D279" s="535" t="s">
        <v>413</v>
      </c>
      <c r="E279" s="464" t="s">
        <v>841</v>
      </c>
      <c r="F279" s="829" t="s">
        <v>842</v>
      </c>
      <c r="G279" s="465" t="s">
        <v>838</v>
      </c>
      <c r="H279" s="465" t="s">
        <v>838</v>
      </c>
      <c r="I279" s="465"/>
      <c r="J279" s="465"/>
      <c r="K279" s="465"/>
      <c r="L279" s="465"/>
      <c r="M279" s="465"/>
      <c r="N279" s="465"/>
      <c r="O279" s="465"/>
      <c r="P279" s="830"/>
      <c r="Q279" s="830"/>
      <c r="R279" s="830"/>
      <c r="S279" s="830"/>
      <c r="T279" s="830"/>
      <c r="U279" s="830"/>
      <c r="V279" s="830"/>
      <c r="W279" s="830"/>
    </row>
    <row r="280" spans="1:23" s="457" customFormat="1" ht="340">
      <c r="A280" s="154"/>
      <c r="B280" s="406">
        <v>293</v>
      </c>
      <c r="C280" s="257" t="s">
        <v>843</v>
      </c>
      <c r="D280" s="150"/>
      <c r="E280" s="150"/>
      <c r="F280" s="540"/>
      <c r="G280" s="541"/>
      <c r="H280" s="541"/>
      <c r="I280" s="542" t="s">
        <v>844</v>
      </c>
      <c r="J280" s="465"/>
      <c r="K280" s="465"/>
      <c r="L280" s="465"/>
      <c r="M280" s="465"/>
      <c r="N280" s="465"/>
      <c r="O280" s="465"/>
      <c r="P280" s="830"/>
      <c r="Q280" s="830"/>
      <c r="R280" s="830"/>
      <c r="S280" s="830"/>
      <c r="T280" s="830"/>
      <c r="U280" s="830"/>
      <c r="V280" s="830"/>
      <c r="W280" s="830"/>
    </row>
    <row r="281" spans="1:23" s="457" customFormat="1" ht="29">
      <c r="A281" s="154"/>
      <c r="B281" s="534">
        <v>294</v>
      </c>
      <c r="C281" s="533"/>
      <c r="D281" s="535" t="s">
        <v>416</v>
      </c>
      <c r="E281" s="464" t="s">
        <v>417</v>
      </c>
      <c r="F281" s="829" t="s">
        <v>845</v>
      </c>
      <c r="G281" s="465" t="s">
        <v>838</v>
      </c>
      <c r="H281" s="465" t="s">
        <v>838</v>
      </c>
      <c r="I281" s="465" t="s">
        <v>846</v>
      </c>
      <c r="J281" s="465"/>
      <c r="K281" s="465"/>
      <c r="L281" s="465"/>
      <c r="M281" s="465"/>
      <c r="N281" s="465"/>
      <c r="O281" s="465"/>
      <c r="P281" s="830"/>
      <c r="Q281" s="830"/>
      <c r="R281" s="830"/>
      <c r="S281" s="830"/>
      <c r="T281" s="830"/>
      <c r="U281" s="830"/>
      <c r="V281" s="830"/>
      <c r="W281" s="830"/>
    </row>
    <row r="282" spans="1:23" s="457" customFormat="1" ht="34">
      <c r="A282" s="154"/>
      <c r="B282" s="534">
        <v>295</v>
      </c>
      <c r="C282" s="533"/>
      <c r="D282" s="535" t="s">
        <v>418</v>
      </c>
      <c r="E282" s="464" t="s">
        <v>419</v>
      </c>
      <c r="F282" s="829" t="s">
        <v>847</v>
      </c>
      <c r="G282" s="465" t="s">
        <v>838</v>
      </c>
      <c r="H282" s="465" t="s">
        <v>838</v>
      </c>
      <c r="I282" s="465" t="s">
        <v>846</v>
      </c>
      <c r="J282" s="465"/>
      <c r="K282" s="465"/>
      <c r="L282" s="465"/>
      <c r="M282" s="465"/>
      <c r="N282" s="465"/>
      <c r="O282" s="465"/>
      <c r="P282" s="830"/>
      <c r="Q282" s="830"/>
      <c r="R282" s="830"/>
      <c r="S282" s="830"/>
      <c r="T282" s="830"/>
      <c r="U282" s="830"/>
      <c r="V282" s="830"/>
      <c r="W282" s="830"/>
    </row>
    <row r="283" spans="1:23" s="457" customFormat="1" ht="29">
      <c r="A283" s="154"/>
      <c r="B283" s="534">
        <v>296</v>
      </c>
      <c r="C283" s="533"/>
      <c r="D283" s="535" t="s">
        <v>420</v>
      </c>
      <c r="E283" s="464" t="s">
        <v>421</v>
      </c>
      <c r="F283" s="829" t="s">
        <v>848</v>
      </c>
      <c r="G283" s="465" t="s">
        <v>838</v>
      </c>
      <c r="H283" s="465" t="s">
        <v>838</v>
      </c>
      <c r="I283" s="465" t="s">
        <v>846</v>
      </c>
      <c r="J283" s="465"/>
      <c r="K283" s="465"/>
      <c r="L283" s="465"/>
      <c r="M283" s="465"/>
      <c r="N283" s="465"/>
      <c r="O283" s="465"/>
      <c r="P283" s="830"/>
      <c r="Q283" s="830"/>
      <c r="R283" s="830"/>
      <c r="S283" s="830"/>
      <c r="T283" s="830"/>
      <c r="U283" s="830"/>
      <c r="V283" s="830"/>
      <c r="W283" s="830"/>
    </row>
    <row r="284" spans="1:23" s="457" customFormat="1" ht="29">
      <c r="A284" s="154"/>
      <c r="B284" s="534">
        <v>297</v>
      </c>
      <c r="C284" s="533"/>
      <c r="D284" s="535" t="s">
        <v>422</v>
      </c>
      <c r="E284" s="464" t="s">
        <v>423</v>
      </c>
      <c r="F284" s="829" t="s">
        <v>849</v>
      </c>
      <c r="G284" s="465" t="s">
        <v>838</v>
      </c>
      <c r="H284" s="465" t="s">
        <v>838</v>
      </c>
      <c r="I284" s="465" t="s">
        <v>846</v>
      </c>
      <c r="J284" s="465"/>
      <c r="K284" s="465"/>
      <c r="L284" s="465"/>
      <c r="M284" s="465"/>
      <c r="N284" s="465"/>
      <c r="O284" s="465"/>
      <c r="P284" s="830"/>
      <c r="Q284" s="830"/>
      <c r="R284" s="830"/>
      <c r="S284" s="830"/>
      <c r="T284" s="830"/>
      <c r="U284" s="830"/>
      <c r="V284" s="830"/>
      <c r="W284" s="830"/>
    </row>
    <row r="285" spans="1:23" s="457" customFormat="1" ht="29">
      <c r="A285" s="154"/>
      <c r="B285" s="534">
        <v>298</v>
      </c>
      <c r="C285" s="533"/>
      <c r="D285" s="535" t="s">
        <v>424</v>
      </c>
      <c r="E285" s="464" t="s">
        <v>425</v>
      </c>
      <c r="F285" s="829" t="s">
        <v>850</v>
      </c>
      <c r="G285" s="465" t="s">
        <v>838</v>
      </c>
      <c r="H285" s="465" t="s">
        <v>838</v>
      </c>
      <c r="I285" s="465" t="s">
        <v>846</v>
      </c>
      <c r="J285" s="465"/>
      <c r="K285" s="465"/>
      <c r="L285" s="465"/>
      <c r="M285" s="465"/>
      <c r="N285" s="465"/>
      <c r="O285" s="465"/>
      <c r="P285" s="830"/>
      <c r="Q285" s="830"/>
      <c r="R285" s="830"/>
      <c r="S285" s="830"/>
      <c r="T285" s="830"/>
      <c r="U285" s="830"/>
      <c r="V285" s="830"/>
      <c r="W285" s="830"/>
    </row>
    <row r="286" spans="1:23" s="457" customFormat="1" ht="34">
      <c r="A286" s="157"/>
      <c r="B286" s="534">
        <v>299</v>
      </c>
      <c r="C286" s="533"/>
      <c r="D286" s="535" t="s">
        <v>426</v>
      </c>
      <c r="E286" s="464" t="s">
        <v>427</v>
      </c>
      <c r="F286" s="829" t="s">
        <v>851</v>
      </c>
      <c r="G286" s="465" t="s">
        <v>838</v>
      </c>
      <c r="H286" s="465" t="s">
        <v>838</v>
      </c>
      <c r="I286" s="465" t="s">
        <v>846</v>
      </c>
      <c r="J286" s="465"/>
      <c r="K286" s="465"/>
      <c r="L286" s="465"/>
      <c r="M286" s="465"/>
      <c r="N286" s="465"/>
      <c r="O286" s="465"/>
      <c r="P286" s="830"/>
      <c r="Q286" s="830"/>
      <c r="R286" s="830"/>
      <c r="S286" s="830"/>
      <c r="T286" s="830"/>
      <c r="U286" s="830"/>
      <c r="V286" s="830"/>
      <c r="W286" s="830"/>
    </row>
    <row r="287" spans="1:23" s="457" customFormat="1" ht="34">
      <c r="A287" s="154"/>
      <c r="B287" s="534">
        <v>300</v>
      </c>
      <c r="C287" s="533"/>
      <c r="D287" s="535" t="s">
        <v>428</v>
      </c>
      <c r="E287" s="464" t="s">
        <v>429</v>
      </c>
      <c r="F287" s="829" t="s">
        <v>852</v>
      </c>
      <c r="G287" s="465" t="s">
        <v>838</v>
      </c>
      <c r="H287" s="465" t="s">
        <v>838</v>
      </c>
      <c r="I287" s="465" t="s">
        <v>846</v>
      </c>
      <c r="J287" s="465"/>
      <c r="K287" s="465"/>
      <c r="L287" s="465"/>
      <c r="M287" s="465"/>
      <c r="N287" s="465"/>
      <c r="O287" s="465"/>
      <c r="P287" s="830"/>
      <c r="Q287" s="830"/>
      <c r="R287" s="830"/>
      <c r="S287" s="830"/>
      <c r="T287" s="830"/>
      <c r="U287" s="830"/>
      <c r="V287" s="830"/>
      <c r="W287" s="830"/>
    </row>
    <row r="288" spans="1:23" s="457" customFormat="1" ht="29">
      <c r="A288" s="161"/>
      <c r="B288" s="534">
        <v>301</v>
      </c>
      <c r="C288" s="533"/>
      <c r="D288" s="535" t="s">
        <v>430</v>
      </c>
      <c r="E288" s="464" t="s">
        <v>431</v>
      </c>
      <c r="F288" s="829" t="s">
        <v>853</v>
      </c>
      <c r="G288" s="465" t="s">
        <v>838</v>
      </c>
      <c r="H288" s="465" t="s">
        <v>838</v>
      </c>
      <c r="I288" s="465" t="s">
        <v>846</v>
      </c>
      <c r="J288" s="465"/>
      <c r="K288" s="465"/>
      <c r="L288" s="465"/>
      <c r="M288" s="465"/>
      <c r="N288" s="465"/>
      <c r="O288" s="465"/>
      <c r="P288" s="830"/>
      <c r="Q288" s="830"/>
      <c r="R288" s="830"/>
      <c r="S288" s="830"/>
      <c r="T288" s="830"/>
      <c r="U288" s="830"/>
      <c r="V288" s="830"/>
      <c r="W288" s="830"/>
    </row>
    <row r="289" spans="1:23" s="457" customFormat="1" ht="404">
      <c r="A289" s="159"/>
      <c r="B289" s="406">
        <v>302</v>
      </c>
      <c r="C289" s="257" t="s">
        <v>432</v>
      </c>
      <c r="D289" s="150"/>
      <c r="E289" s="150"/>
      <c r="F289" s="540"/>
      <c r="G289" s="542" t="s">
        <v>854</v>
      </c>
      <c r="H289" s="541"/>
      <c r="I289" s="845" t="s">
        <v>855</v>
      </c>
      <c r="J289" s="465"/>
      <c r="K289" s="465"/>
      <c r="L289" s="465"/>
      <c r="M289" s="465"/>
      <c r="N289" s="465"/>
      <c r="O289" s="465"/>
      <c r="P289" s="830"/>
      <c r="Q289" s="830"/>
      <c r="R289" s="830"/>
      <c r="S289" s="830"/>
      <c r="T289" s="830"/>
      <c r="U289" s="830"/>
      <c r="V289" s="830"/>
      <c r="W289" s="830"/>
    </row>
    <row r="290" spans="1:23" s="457" customFormat="1" ht="34">
      <c r="A290" s="154"/>
      <c r="B290" s="534">
        <v>303</v>
      </c>
      <c r="C290" s="533"/>
      <c r="D290" s="535" t="s">
        <v>433</v>
      </c>
      <c r="E290" s="464" t="s">
        <v>856</v>
      </c>
      <c r="F290" s="829" t="s">
        <v>857</v>
      </c>
      <c r="G290" s="465" t="s">
        <v>858</v>
      </c>
      <c r="H290" s="465" t="s">
        <v>858</v>
      </c>
      <c r="I290" s="465" t="s">
        <v>858</v>
      </c>
      <c r="J290" s="465"/>
      <c r="K290" s="465"/>
      <c r="L290" s="465"/>
      <c r="M290" s="465"/>
      <c r="N290" s="465"/>
      <c r="O290" s="465"/>
      <c r="P290" s="830"/>
      <c r="Q290" s="830"/>
      <c r="R290" s="830"/>
      <c r="S290" s="830"/>
      <c r="T290" s="830"/>
      <c r="U290" s="830"/>
      <c r="V290" s="830"/>
      <c r="W290" s="830"/>
    </row>
    <row r="291" spans="1:23" s="457" customFormat="1" ht="34">
      <c r="A291" s="154"/>
      <c r="B291" s="534">
        <v>304</v>
      </c>
      <c r="C291" s="533"/>
      <c r="D291" s="535" t="s">
        <v>436</v>
      </c>
      <c r="E291" s="464" t="s">
        <v>437</v>
      </c>
      <c r="F291" s="829" t="s">
        <v>859</v>
      </c>
      <c r="G291" s="465" t="s">
        <v>858</v>
      </c>
      <c r="H291" s="465" t="s">
        <v>858</v>
      </c>
      <c r="I291" s="465" t="s">
        <v>858</v>
      </c>
      <c r="J291" s="465"/>
      <c r="K291" s="465"/>
      <c r="L291" s="465"/>
      <c r="M291" s="465"/>
      <c r="N291" s="465"/>
      <c r="O291" s="465"/>
      <c r="P291" s="830"/>
      <c r="Q291" s="830"/>
      <c r="R291" s="830"/>
      <c r="S291" s="830"/>
      <c r="T291" s="830"/>
      <c r="U291" s="830"/>
      <c r="V291" s="830"/>
      <c r="W291" s="830"/>
    </row>
    <row r="292" spans="1:23" s="457" customFormat="1" ht="34">
      <c r="A292" s="154"/>
      <c r="B292" s="534">
        <v>305</v>
      </c>
      <c r="C292" s="533"/>
      <c r="D292" s="535" t="s">
        <v>860</v>
      </c>
      <c r="E292" s="464" t="s">
        <v>439</v>
      </c>
      <c r="F292" s="829" t="s">
        <v>861</v>
      </c>
      <c r="G292" s="465" t="s">
        <v>858</v>
      </c>
      <c r="H292" s="465" t="s">
        <v>858</v>
      </c>
      <c r="I292" s="465" t="s">
        <v>858</v>
      </c>
      <c r="J292" s="465"/>
      <c r="K292" s="465"/>
      <c r="L292" s="465"/>
      <c r="M292" s="465"/>
      <c r="N292" s="465"/>
      <c r="O292" s="465"/>
      <c r="P292" s="830"/>
      <c r="Q292" s="830"/>
      <c r="R292" s="830"/>
      <c r="S292" s="830"/>
      <c r="T292" s="830"/>
      <c r="U292" s="830"/>
      <c r="V292" s="830"/>
      <c r="W292" s="830"/>
    </row>
    <row r="293" spans="1:23" s="457" customFormat="1" ht="34">
      <c r="A293" s="159"/>
      <c r="B293" s="534">
        <v>306</v>
      </c>
      <c r="C293" s="533"/>
      <c r="D293" s="535" t="s">
        <v>862</v>
      </c>
      <c r="E293" s="464" t="s">
        <v>863</v>
      </c>
      <c r="F293" s="829" t="s">
        <v>864</v>
      </c>
      <c r="G293" s="465" t="s">
        <v>858</v>
      </c>
      <c r="H293" s="465" t="s">
        <v>858</v>
      </c>
      <c r="I293" s="465" t="s">
        <v>858</v>
      </c>
      <c r="J293" s="465"/>
      <c r="K293" s="465"/>
      <c r="L293" s="465"/>
      <c r="M293" s="465"/>
      <c r="N293" s="465"/>
      <c r="O293" s="465"/>
      <c r="P293" s="830"/>
      <c r="Q293" s="830"/>
      <c r="R293" s="830"/>
      <c r="S293" s="830"/>
      <c r="T293" s="830"/>
      <c r="U293" s="830"/>
      <c r="V293" s="830"/>
      <c r="W293" s="830"/>
    </row>
    <row r="294" spans="1:23" s="457" customFormat="1" ht="34">
      <c r="A294" s="154"/>
      <c r="B294" s="534">
        <v>307</v>
      </c>
      <c r="C294" s="533"/>
      <c r="D294" s="535" t="s">
        <v>865</v>
      </c>
      <c r="E294" s="464" t="s">
        <v>443</v>
      </c>
      <c r="F294" s="829" t="s">
        <v>866</v>
      </c>
      <c r="G294" s="465" t="s">
        <v>858</v>
      </c>
      <c r="H294" s="465" t="s">
        <v>858</v>
      </c>
      <c r="I294" s="465" t="s">
        <v>858</v>
      </c>
      <c r="J294" s="465"/>
      <c r="K294" s="465"/>
      <c r="L294" s="465"/>
      <c r="M294" s="465"/>
      <c r="N294" s="465"/>
      <c r="O294" s="465"/>
      <c r="P294" s="830"/>
      <c r="Q294" s="830"/>
      <c r="R294" s="830"/>
      <c r="S294" s="830"/>
      <c r="T294" s="830"/>
      <c r="U294" s="830"/>
      <c r="V294" s="830"/>
      <c r="W294" s="830"/>
    </row>
    <row r="295" spans="1:23" s="457" customFormat="1" ht="409" customHeight="1">
      <c r="A295" s="154"/>
      <c r="B295" s="505">
        <v>308</v>
      </c>
      <c r="C295" s="504" t="s">
        <v>444</v>
      </c>
      <c r="D295" s="506"/>
      <c r="E295" s="506"/>
      <c r="F295" s="537"/>
      <c r="G295" s="538" t="s">
        <v>867</v>
      </c>
      <c r="H295" s="844" t="s">
        <v>868</v>
      </c>
      <c r="I295" s="844" t="s">
        <v>869</v>
      </c>
      <c r="J295" s="465"/>
      <c r="K295" s="465"/>
      <c r="L295" s="465"/>
      <c r="M295" s="465"/>
      <c r="N295" s="465"/>
      <c r="O295" s="465"/>
      <c r="P295" s="830"/>
      <c r="Q295" s="830"/>
      <c r="R295" s="830"/>
      <c r="S295" s="830"/>
      <c r="T295" s="830"/>
      <c r="U295" s="830"/>
      <c r="V295" s="830"/>
      <c r="W295" s="830"/>
    </row>
    <row r="296" spans="1:23" ht="29">
      <c r="B296" s="405">
        <v>309</v>
      </c>
      <c r="C296" s="256" t="s">
        <v>446</v>
      </c>
      <c r="D296" s="148"/>
      <c r="E296" s="148"/>
      <c r="F296" s="149"/>
      <c r="G296" s="149"/>
      <c r="H296" s="149"/>
      <c r="I296" s="149"/>
      <c r="J296" s="495"/>
      <c r="K296" s="495"/>
      <c r="L296" s="495"/>
      <c r="M296" s="495"/>
      <c r="N296" s="495"/>
      <c r="O296" s="495"/>
      <c r="P296" s="824"/>
      <c r="Q296" s="824"/>
      <c r="R296" s="824"/>
      <c r="S296" s="824"/>
      <c r="T296" s="824"/>
      <c r="U296" s="824"/>
      <c r="V296" s="824"/>
      <c r="W296" s="824"/>
    </row>
    <row r="297" spans="1:23" s="457" customFormat="1" ht="34">
      <c r="A297" s="154"/>
      <c r="B297" s="534">
        <v>310</v>
      </c>
      <c r="C297" s="533"/>
      <c r="D297" s="535" t="s">
        <v>447</v>
      </c>
      <c r="E297" s="464" t="s">
        <v>448</v>
      </c>
      <c r="F297" s="829" t="s">
        <v>870</v>
      </c>
      <c r="G297" s="465" t="s">
        <v>871</v>
      </c>
      <c r="H297" s="465" t="s">
        <v>871</v>
      </c>
      <c r="I297" s="465" t="s">
        <v>871</v>
      </c>
      <c r="J297" s="465"/>
      <c r="K297" s="465"/>
      <c r="L297" s="465"/>
      <c r="M297" s="465"/>
      <c r="N297" s="465"/>
      <c r="O297" s="465"/>
      <c r="P297" s="830"/>
      <c r="Q297" s="830"/>
      <c r="R297" s="830"/>
      <c r="S297" s="830"/>
      <c r="T297" s="830"/>
      <c r="U297" s="830"/>
      <c r="V297" s="830"/>
      <c r="W297" s="830"/>
    </row>
    <row r="298" spans="1:23" s="457" customFormat="1" ht="34">
      <c r="A298" s="154"/>
      <c r="B298" s="534">
        <v>311</v>
      </c>
      <c r="C298" s="533"/>
      <c r="D298" s="535" t="s">
        <v>449</v>
      </c>
      <c r="E298" s="464" t="s">
        <v>450</v>
      </c>
      <c r="F298" s="829" t="s">
        <v>872</v>
      </c>
      <c r="G298" s="465" t="s">
        <v>871</v>
      </c>
      <c r="H298" s="465" t="s">
        <v>871</v>
      </c>
      <c r="I298" s="465" t="s">
        <v>871</v>
      </c>
      <c r="J298" s="465"/>
      <c r="K298" s="465"/>
      <c r="L298" s="465"/>
      <c r="M298" s="465"/>
      <c r="N298" s="465"/>
      <c r="O298" s="465"/>
      <c r="P298" s="830"/>
      <c r="Q298" s="830"/>
      <c r="R298" s="830"/>
      <c r="S298" s="830"/>
      <c r="T298" s="830"/>
      <c r="U298" s="830"/>
      <c r="V298" s="830"/>
      <c r="W298" s="830"/>
    </row>
    <row r="299" spans="1:23" s="457" customFormat="1" ht="34">
      <c r="A299" s="154"/>
      <c r="B299" s="534">
        <v>312</v>
      </c>
      <c r="C299" s="533"/>
      <c r="D299" s="535" t="s">
        <v>451</v>
      </c>
      <c r="E299" s="464" t="s">
        <v>452</v>
      </c>
      <c r="F299" s="829" t="s">
        <v>873</v>
      </c>
      <c r="G299" s="465" t="s">
        <v>871</v>
      </c>
      <c r="H299" s="465" t="s">
        <v>871</v>
      </c>
      <c r="I299" s="465" t="s">
        <v>871</v>
      </c>
      <c r="J299" s="465"/>
      <c r="K299" s="465"/>
      <c r="L299" s="465"/>
      <c r="M299" s="465"/>
      <c r="N299" s="465"/>
      <c r="O299" s="465"/>
      <c r="P299" s="830"/>
      <c r="Q299" s="830"/>
      <c r="R299" s="830"/>
      <c r="S299" s="830"/>
      <c r="T299" s="830"/>
      <c r="U299" s="830"/>
      <c r="V299" s="830"/>
      <c r="W299" s="830"/>
    </row>
    <row r="300" spans="1:23" ht="29">
      <c r="B300" s="405">
        <v>313</v>
      </c>
      <c r="C300" s="256" t="s">
        <v>453</v>
      </c>
      <c r="D300" s="148"/>
      <c r="E300" s="148"/>
      <c r="F300" s="149"/>
      <c r="G300" s="149"/>
      <c r="H300" s="149"/>
      <c r="I300" s="149"/>
      <c r="J300" s="495"/>
      <c r="K300" s="495"/>
      <c r="L300" s="495"/>
      <c r="M300" s="495"/>
      <c r="N300" s="495"/>
      <c r="O300" s="495"/>
      <c r="P300" s="824"/>
      <c r="Q300" s="824"/>
      <c r="R300" s="824"/>
      <c r="S300" s="824"/>
      <c r="T300" s="824"/>
      <c r="U300" s="824"/>
      <c r="V300" s="824"/>
      <c r="W300" s="824"/>
    </row>
    <row r="301" spans="1:23" s="457" customFormat="1" ht="51">
      <c r="A301" s="154"/>
      <c r="B301" s="534">
        <v>314</v>
      </c>
      <c r="C301" s="533"/>
      <c r="D301" s="535" t="s">
        <v>455</v>
      </c>
      <c r="E301" s="464" t="s">
        <v>456</v>
      </c>
      <c r="F301" s="830" t="s">
        <v>874</v>
      </c>
      <c r="G301" s="465" t="s">
        <v>871</v>
      </c>
      <c r="H301" s="465" t="s">
        <v>871</v>
      </c>
      <c r="I301" s="465" t="s">
        <v>871</v>
      </c>
      <c r="J301" s="465"/>
      <c r="K301" s="465"/>
      <c r="L301" s="465"/>
      <c r="M301" s="465"/>
      <c r="N301" s="465"/>
      <c r="O301" s="465"/>
      <c r="P301" s="830"/>
      <c r="Q301" s="830"/>
      <c r="R301" s="830"/>
      <c r="S301" s="830"/>
      <c r="T301" s="830"/>
      <c r="U301" s="830"/>
      <c r="V301" s="830"/>
      <c r="W301" s="830"/>
    </row>
    <row r="302" spans="1:23" s="457" customFormat="1" ht="51">
      <c r="A302" s="159"/>
      <c r="B302" s="534">
        <v>315</v>
      </c>
      <c r="C302" s="533"/>
      <c r="D302" s="535" t="s">
        <v>875</v>
      </c>
      <c r="E302" s="464" t="s">
        <v>458</v>
      </c>
      <c r="F302" s="455" t="s">
        <v>876</v>
      </c>
      <c r="G302" s="465" t="s">
        <v>871</v>
      </c>
      <c r="H302" s="465" t="s">
        <v>871</v>
      </c>
      <c r="I302" s="465" t="s">
        <v>871</v>
      </c>
      <c r="J302" s="465"/>
      <c r="K302" s="465"/>
      <c r="L302" s="465"/>
      <c r="M302" s="465"/>
      <c r="N302" s="465"/>
      <c r="O302" s="465"/>
      <c r="P302" s="830"/>
      <c r="Q302" s="830"/>
      <c r="R302" s="830"/>
      <c r="S302" s="830"/>
      <c r="T302" s="830"/>
      <c r="U302" s="830"/>
      <c r="V302" s="830"/>
      <c r="W302" s="830"/>
    </row>
    <row r="303" spans="1:23" s="457" customFormat="1" ht="51">
      <c r="A303" s="154"/>
      <c r="B303" s="534">
        <v>316</v>
      </c>
      <c r="C303" s="533"/>
      <c r="D303" s="535" t="s">
        <v>877</v>
      </c>
      <c r="E303" s="464" t="s">
        <v>460</v>
      </c>
      <c r="F303" s="455" t="s">
        <v>878</v>
      </c>
      <c r="G303" s="465" t="s">
        <v>871</v>
      </c>
      <c r="H303" s="465" t="s">
        <v>871</v>
      </c>
      <c r="I303" s="465" t="s">
        <v>871</v>
      </c>
      <c r="J303" s="465"/>
      <c r="K303" s="465"/>
      <c r="L303" s="465"/>
      <c r="M303" s="465"/>
      <c r="N303" s="465"/>
      <c r="O303" s="465"/>
      <c r="P303" s="830"/>
      <c r="Q303" s="830"/>
      <c r="R303" s="830"/>
      <c r="S303" s="830"/>
      <c r="T303" s="830"/>
      <c r="U303" s="830"/>
      <c r="V303" s="830"/>
      <c r="W303" s="830"/>
    </row>
    <row r="304" spans="1:23" s="457" customFormat="1" ht="29">
      <c r="A304" s="154"/>
      <c r="B304" s="534">
        <v>317</v>
      </c>
      <c r="C304" s="533"/>
      <c r="D304" s="535"/>
      <c r="E304" s="464"/>
      <c r="F304" s="455"/>
      <c r="G304" s="465"/>
      <c r="H304" s="465"/>
      <c r="I304" s="465"/>
      <c r="J304" s="465"/>
      <c r="K304" s="465"/>
      <c r="L304" s="465"/>
      <c r="M304" s="465"/>
      <c r="N304" s="465"/>
      <c r="O304" s="465"/>
      <c r="P304" s="830"/>
      <c r="Q304" s="830"/>
      <c r="R304" s="830"/>
      <c r="S304" s="830"/>
      <c r="T304" s="830"/>
      <c r="U304" s="830"/>
      <c r="V304" s="830"/>
      <c r="W304" s="830"/>
    </row>
    <row r="305" spans="1:23" s="457" customFormat="1" ht="51">
      <c r="A305" s="154"/>
      <c r="B305" s="534">
        <v>318</v>
      </c>
      <c r="C305" s="533"/>
      <c r="D305" s="535" t="s">
        <v>461</v>
      </c>
      <c r="E305" s="464" t="s">
        <v>462</v>
      </c>
      <c r="F305" s="830" t="s">
        <v>879</v>
      </c>
      <c r="G305" s="465" t="s">
        <v>871</v>
      </c>
      <c r="H305" s="465" t="s">
        <v>871</v>
      </c>
      <c r="I305" s="465" t="s">
        <v>871</v>
      </c>
      <c r="J305" s="465"/>
      <c r="K305" s="465"/>
      <c r="L305" s="465"/>
      <c r="M305" s="465"/>
      <c r="N305" s="465"/>
      <c r="O305" s="465"/>
      <c r="P305" s="830"/>
      <c r="Q305" s="830"/>
      <c r="R305" s="830"/>
      <c r="S305" s="830"/>
      <c r="T305" s="830"/>
      <c r="U305" s="830"/>
      <c r="V305" s="830"/>
      <c r="W305" s="830"/>
    </row>
    <row r="306" spans="1:23" s="457" customFormat="1" ht="51">
      <c r="A306" s="154"/>
      <c r="B306" s="534">
        <v>319</v>
      </c>
      <c r="C306" s="533"/>
      <c r="D306" s="535" t="s">
        <v>880</v>
      </c>
      <c r="E306" s="464" t="s">
        <v>464</v>
      </c>
      <c r="F306" s="455" t="s">
        <v>881</v>
      </c>
      <c r="G306" s="465" t="s">
        <v>871</v>
      </c>
      <c r="H306" s="465" t="s">
        <v>871</v>
      </c>
      <c r="I306" s="465" t="s">
        <v>871</v>
      </c>
      <c r="J306" s="465"/>
      <c r="K306" s="465"/>
      <c r="L306" s="465"/>
      <c r="M306" s="465"/>
      <c r="N306" s="465"/>
      <c r="O306" s="465"/>
      <c r="P306" s="830"/>
      <c r="Q306" s="830"/>
      <c r="R306" s="830"/>
      <c r="S306" s="830"/>
      <c r="T306" s="830"/>
      <c r="U306" s="830"/>
      <c r="V306" s="830"/>
      <c r="W306" s="830"/>
    </row>
    <row r="307" spans="1:23" s="457" customFormat="1" ht="51">
      <c r="A307" s="154"/>
      <c r="B307" s="534">
        <v>320</v>
      </c>
      <c r="C307" s="533"/>
      <c r="D307" s="535" t="s">
        <v>882</v>
      </c>
      <c r="E307" s="464" t="s">
        <v>466</v>
      </c>
      <c r="F307" s="455" t="s">
        <v>883</v>
      </c>
      <c r="G307" s="465" t="s">
        <v>871</v>
      </c>
      <c r="H307" s="465" t="s">
        <v>871</v>
      </c>
      <c r="I307" s="465" t="s">
        <v>871</v>
      </c>
      <c r="J307" s="465"/>
      <c r="K307" s="465"/>
      <c r="L307" s="465"/>
      <c r="M307" s="465"/>
      <c r="N307" s="465"/>
      <c r="O307" s="465"/>
      <c r="P307" s="830"/>
      <c r="Q307" s="830"/>
      <c r="R307" s="830"/>
      <c r="S307" s="830"/>
      <c r="T307" s="830"/>
      <c r="U307" s="830"/>
      <c r="V307" s="830"/>
      <c r="W307" s="830"/>
    </row>
    <row r="308" spans="1:23" s="457" customFormat="1" ht="29">
      <c r="A308" s="161"/>
      <c r="B308" s="534">
        <v>321</v>
      </c>
      <c r="C308" s="533"/>
      <c r="D308" s="535"/>
      <c r="E308" s="464"/>
      <c r="F308" s="455"/>
      <c r="G308" s="465"/>
      <c r="H308" s="465"/>
      <c r="I308" s="465"/>
      <c r="J308" s="465"/>
      <c r="K308" s="465"/>
      <c r="L308" s="465"/>
      <c r="M308" s="465"/>
      <c r="N308" s="465"/>
      <c r="O308" s="465"/>
      <c r="P308" s="830"/>
      <c r="Q308" s="830"/>
      <c r="R308" s="830"/>
      <c r="S308" s="830"/>
      <c r="T308" s="830"/>
      <c r="U308" s="830"/>
      <c r="V308" s="830"/>
      <c r="W308" s="830"/>
    </row>
    <row r="309" spans="1:23" s="457" customFormat="1" ht="34">
      <c r="A309" s="159"/>
      <c r="B309" s="534">
        <v>322</v>
      </c>
      <c r="C309" s="533"/>
      <c r="D309" s="535" t="s">
        <v>467</v>
      </c>
      <c r="E309" s="464" t="s">
        <v>884</v>
      </c>
      <c r="F309" s="830" t="s">
        <v>885</v>
      </c>
      <c r="G309" s="465" t="s">
        <v>871</v>
      </c>
      <c r="H309" s="465" t="s">
        <v>871</v>
      </c>
      <c r="I309" s="465" t="s">
        <v>871</v>
      </c>
      <c r="J309" s="465"/>
      <c r="K309" s="465"/>
      <c r="L309" s="465"/>
      <c r="M309" s="465"/>
      <c r="N309" s="465"/>
      <c r="O309" s="465"/>
      <c r="P309" s="830"/>
      <c r="Q309" s="830"/>
      <c r="R309" s="830"/>
      <c r="S309" s="830"/>
      <c r="T309" s="830"/>
      <c r="U309" s="830"/>
      <c r="V309" s="830"/>
      <c r="W309" s="830"/>
    </row>
    <row r="310" spans="1:23" s="457" customFormat="1" ht="34">
      <c r="A310" s="154"/>
      <c r="B310" s="534">
        <v>323</v>
      </c>
      <c r="C310" s="533"/>
      <c r="D310" s="535" t="s">
        <v>469</v>
      </c>
      <c r="E310" s="464" t="s">
        <v>886</v>
      </c>
      <c r="F310" s="455" t="s">
        <v>887</v>
      </c>
      <c r="G310" s="465" t="s">
        <v>871</v>
      </c>
      <c r="H310" s="465" t="s">
        <v>871</v>
      </c>
      <c r="I310" s="465" t="s">
        <v>871</v>
      </c>
      <c r="J310" s="465"/>
      <c r="K310" s="465"/>
      <c r="L310" s="465"/>
      <c r="M310" s="465"/>
      <c r="N310" s="465"/>
      <c r="O310" s="465"/>
      <c r="P310" s="830"/>
      <c r="Q310" s="830"/>
      <c r="R310" s="830"/>
      <c r="S310" s="830"/>
      <c r="T310" s="830"/>
      <c r="U310" s="830"/>
      <c r="V310" s="830"/>
      <c r="W310" s="830"/>
    </row>
    <row r="311" spans="1:23" s="457" customFormat="1" ht="34">
      <c r="A311" s="154"/>
      <c r="B311" s="534">
        <v>324</v>
      </c>
      <c r="C311" s="533"/>
      <c r="D311" s="535" t="s">
        <v>471</v>
      </c>
      <c r="E311" s="464" t="s">
        <v>472</v>
      </c>
      <c r="F311" s="455" t="s">
        <v>888</v>
      </c>
      <c r="G311" s="465" t="s">
        <v>871</v>
      </c>
      <c r="H311" s="465" t="s">
        <v>871</v>
      </c>
      <c r="I311" s="465" t="s">
        <v>871</v>
      </c>
      <c r="J311" s="465"/>
      <c r="K311" s="465"/>
      <c r="L311" s="465"/>
      <c r="M311" s="465"/>
      <c r="N311" s="465"/>
      <c r="O311" s="465"/>
      <c r="P311" s="830"/>
      <c r="Q311" s="830"/>
      <c r="R311" s="830"/>
      <c r="S311" s="830"/>
      <c r="T311" s="830"/>
      <c r="U311" s="830"/>
      <c r="V311" s="830"/>
      <c r="W311" s="830"/>
    </row>
    <row r="312" spans="1:23" s="457" customFormat="1" ht="29">
      <c r="A312" s="154"/>
      <c r="B312" s="534">
        <v>325</v>
      </c>
      <c r="C312" s="533"/>
      <c r="D312" s="535"/>
      <c r="E312" s="464"/>
      <c r="F312" s="455"/>
      <c r="G312" s="465"/>
      <c r="H312" s="465"/>
      <c r="I312" s="465"/>
      <c r="J312" s="465"/>
      <c r="K312" s="465"/>
      <c r="L312" s="465"/>
      <c r="M312" s="465"/>
      <c r="N312" s="465"/>
      <c r="O312" s="465"/>
      <c r="P312" s="830"/>
      <c r="Q312" s="830"/>
      <c r="R312" s="830"/>
      <c r="S312" s="830"/>
      <c r="T312" s="830"/>
      <c r="U312" s="830"/>
      <c r="V312" s="830"/>
      <c r="W312" s="830"/>
    </row>
    <row r="313" spans="1:23" s="457" customFormat="1" ht="51">
      <c r="A313" s="159"/>
      <c r="B313" s="534">
        <v>326</v>
      </c>
      <c r="C313" s="533"/>
      <c r="D313" s="535" t="s">
        <v>473</v>
      </c>
      <c r="E313" s="464" t="s">
        <v>474</v>
      </c>
      <c r="F313" s="830" t="s">
        <v>889</v>
      </c>
      <c r="G313" s="465" t="s">
        <v>871</v>
      </c>
      <c r="H313" s="465" t="s">
        <v>871</v>
      </c>
      <c r="I313" s="465" t="s">
        <v>871</v>
      </c>
      <c r="J313" s="465"/>
      <c r="K313" s="465"/>
      <c r="L313" s="465"/>
      <c r="M313" s="465"/>
      <c r="N313" s="465"/>
      <c r="O313" s="465"/>
      <c r="P313" s="830"/>
      <c r="Q313" s="830"/>
      <c r="R313" s="830"/>
      <c r="S313" s="830"/>
      <c r="T313" s="830"/>
      <c r="U313" s="830"/>
      <c r="V313" s="830"/>
      <c r="W313" s="830"/>
    </row>
    <row r="314" spans="1:23" s="457" customFormat="1" ht="51">
      <c r="A314" s="154"/>
      <c r="B314" s="534">
        <v>327</v>
      </c>
      <c r="C314" s="533"/>
      <c r="D314" s="535" t="s">
        <v>890</v>
      </c>
      <c r="E314" s="464" t="s">
        <v>476</v>
      </c>
      <c r="F314" s="455" t="s">
        <v>891</v>
      </c>
      <c r="G314" s="465" t="s">
        <v>871</v>
      </c>
      <c r="H314" s="465" t="s">
        <v>871</v>
      </c>
      <c r="I314" s="465" t="s">
        <v>871</v>
      </c>
      <c r="J314" s="465"/>
      <c r="K314" s="465"/>
      <c r="L314" s="465"/>
      <c r="M314" s="465"/>
      <c r="N314" s="465"/>
      <c r="O314" s="465"/>
      <c r="P314" s="830"/>
      <c r="Q314" s="830"/>
      <c r="R314" s="830"/>
      <c r="S314" s="830"/>
      <c r="T314" s="830"/>
      <c r="U314" s="830"/>
      <c r="V314" s="830"/>
      <c r="W314" s="830"/>
    </row>
    <row r="315" spans="1:23" s="457" customFormat="1" ht="51">
      <c r="A315" s="154"/>
      <c r="B315" s="534">
        <v>328</v>
      </c>
      <c r="C315" s="533"/>
      <c r="D315" s="535" t="s">
        <v>892</v>
      </c>
      <c r="E315" s="464" t="s">
        <v>478</v>
      </c>
      <c r="F315" s="455" t="s">
        <v>893</v>
      </c>
      <c r="G315" s="465" t="s">
        <v>871</v>
      </c>
      <c r="H315" s="465" t="s">
        <v>871</v>
      </c>
      <c r="I315" s="465" t="s">
        <v>871</v>
      </c>
      <c r="J315" s="465"/>
      <c r="K315" s="465"/>
      <c r="L315" s="465"/>
      <c r="M315" s="465"/>
      <c r="N315" s="465"/>
      <c r="O315" s="465"/>
      <c r="P315" s="830"/>
      <c r="Q315" s="830"/>
      <c r="R315" s="830"/>
      <c r="S315" s="830"/>
      <c r="T315" s="830"/>
      <c r="U315" s="830"/>
      <c r="V315" s="830"/>
      <c r="W315" s="830"/>
    </row>
    <row r="316" spans="1:23" s="457" customFormat="1" ht="29">
      <c r="A316" s="154"/>
      <c r="B316" s="534">
        <v>329</v>
      </c>
      <c r="C316" s="533"/>
      <c r="D316" s="535"/>
      <c r="E316" s="464"/>
      <c r="F316" s="455"/>
      <c r="G316" s="465"/>
      <c r="H316" s="465"/>
      <c r="I316" s="465"/>
      <c r="J316" s="465"/>
      <c r="K316" s="465"/>
      <c r="L316" s="465"/>
      <c r="M316" s="465"/>
      <c r="N316" s="465"/>
      <c r="O316" s="465"/>
      <c r="P316" s="830"/>
      <c r="Q316" s="830"/>
      <c r="R316" s="830"/>
      <c r="S316" s="830"/>
      <c r="T316" s="830"/>
      <c r="U316" s="830"/>
      <c r="V316" s="830"/>
      <c r="W316" s="830"/>
    </row>
    <row r="317" spans="1:23" s="457" customFormat="1" ht="51">
      <c r="A317" s="154"/>
      <c r="B317" s="534">
        <v>330</v>
      </c>
      <c r="C317" s="533"/>
      <c r="D317" s="535" t="s">
        <v>479</v>
      </c>
      <c r="E317" s="464" t="s">
        <v>480</v>
      </c>
      <c r="F317" s="830" t="s">
        <v>894</v>
      </c>
      <c r="G317" s="465" t="s">
        <v>871</v>
      </c>
      <c r="H317" s="465" t="s">
        <v>871</v>
      </c>
      <c r="I317" s="465" t="s">
        <v>871</v>
      </c>
      <c r="J317" s="465"/>
      <c r="K317" s="465"/>
      <c r="L317" s="465"/>
      <c r="M317" s="465"/>
      <c r="N317" s="465"/>
      <c r="O317" s="465"/>
      <c r="P317" s="830"/>
      <c r="Q317" s="830"/>
      <c r="R317" s="830"/>
      <c r="S317" s="830"/>
      <c r="T317" s="830"/>
      <c r="U317" s="830"/>
      <c r="V317" s="830"/>
      <c r="W317" s="830"/>
    </row>
    <row r="318" spans="1:23" s="457" customFormat="1" ht="51">
      <c r="A318" s="154"/>
      <c r="B318" s="534">
        <v>331</v>
      </c>
      <c r="C318" s="533"/>
      <c r="D318" s="535" t="s">
        <v>895</v>
      </c>
      <c r="E318" s="464" t="s">
        <v>482</v>
      </c>
      <c r="F318" s="455" t="s">
        <v>896</v>
      </c>
      <c r="G318" s="465" t="s">
        <v>871</v>
      </c>
      <c r="H318" s="465" t="s">
        <v>871</v>
      </c>
      <c r="I318" s="465" t="s">
        <v>871</v>
      </c>
      <c r="J318" s="465"/>
      <c r="K318" s="465"/>
      <c r="L318" s="465"/>
      <c r="M318" s="465"/>
      <c r="N318" s="465"/>
      <c r="O318" s="465"/>
      <c r="P318" s="830"/>
      <c r="Q318" s="830"/>
      <c r="R318" s="830"/>
      <c r="S318" s="830"/>
      <c r="T318" s="830"/>
      <c r="U318" s="830"/>
      <c r="V318" s="830"/>
      <c r="W318" s="830"/>
    </row>
    <row r="319" spans="1:23" s="457" customFormat="1" ht="51">
      <c r="A319" s="154"/>
      <c r="B319" s="534">
        <v>332</v>
      </c>
      <c r="C319" s="533"/>
      <c r="D319" s="535" t="s">
        <v>897</v>
      </c>
      <c r="E319" s="464" t="s">
        <v>484</v>
      </c>
      <c r="F319" s="455" t="s">
        <v>898</v>
      </c>
      <c r="G319" s="465" t="s">
        <v>871</v>
      </c>
      <c r="H319" s="465" t="s">
        <v>871</v>
      </c>
      <c r="I319" s="465" t="s">
        <v>871</v>
      </c>
      <c r="J319" s="465"/>
      <c r="K319" s="465"/>
      <c r="L319" s="465"/>
      <c r="M319" s="465"/>
      <c r="N319" s="465"/>
      <c r="O319" s="465"/>
      <c r="P319" s="830"/>
      <c r="Q319" s="830"/>
      <c r="R319" s="830"/>
      <c r="S319" s="830"/>
      <c r="T319" s="830"/>
      <c r="U319" s="830"/>
      <c r="V319" s="830"/>
      <c r="W319" s="830"/>
    </row>
    <row r="320" spans="1:23" s="457" customFormat="1" ht="29">
      <c r="A320" s="154"/>
      <c r="B320" s="534">
        <v>333</v>
      </c>
      <c r="C320" s="533"/>
      <c r="D320" s="535"/>
      <c r="E320" s="464"/>
      <c r="F320" s="455"/>
      <c r="G320" s="465"/>
      <c r="H320" s="465"/>
      <c r="I320" s="465"/>
      <c r="J320" s="465"/>
      <c r="K320" s="465"/>
      <c r="L320" s="465"/>
      <c r="M320" s="465"/>
      <c r="N320" s="465"/>
      <c r="O320" s="465"/>
      <c r="P320" s="830"/>
      <c r="Q320" s="830"/>
      <c r="R320" s="830"/>
      <c r="S320" s="830"/>
      <c r="T320" s="830"/>
      <c r="U320" s="830"/>
      <c r="V320" s="830"/>
      <c r="W320" s="830"/>
    </row>
    <row r="321" spans="1:23" s="457" customFormat="1" ht="51">
      <c r="A321" s="154"/>
      <c r="B321" s="534">
        <v>334</v>
      </c>
      <c r="C321" s="533"/>
      <c r="D321" s="535" t="s">
        <v>485</v>
      </c>
      <c r="E321" s="464" t="s">
        <v>486</v>
      </c>
      <c r="F321" s="830" t="s">
        <v>899</v>
      </c>
      <c r="G321" s="465" t="s">
        <v>871</v>
      </c>
      <c r="H321" s="465" t="s">
        <v>871</v>
      </c>
      <c r="I321" s="465" t="s">
        <v>871</v>
      </c>
      <c r="J321" s="465"/>
      <c r="K321" s="465"/>
      <c r="L321" s="465"/>
      <c r="M321" s="465"/>
      <c r="N321" s="465"/>
      <c r="O321" s="465"/>
      <c r="P321" s="830"/>
      <c r="Q321" s="830"/>
      <c r="R321" s="830"/>
      <c r="S321" s="830"/>
      <c r="T321" s="830"/>
      <c r="U321" s="830"/>
      <c r="V321" s="830"/>
      <c r="W321" s="830"/>
    </row>
    <row r="322" spans="1:23" s="457" customFormat="1" ht="51">
      <c r="A322" s="1055"/>
      <c r="B322" s="534">
        <v>335</v>
      </c>
      <c r="C322" s="533"/>
      <c r="D322" s="535" t="s">
        <v>900</v>
      </c>
      <c r="E322" s="464" t="s">
        <v>488</v>
      </c>
      <c r="F322" s="455" t="s">
        <v>901</v>
      </c>
      <c r="G322" s="465" t="s">
        <v>871</v>
      </c>
      <c r="H322" s="465" t="s">
        <v>871</v>
      </c>
      <c r="I322" s="465" t="s">
        <v>871</v>
      </c>
      <c r="J322" s="465"/>
      <c r="K322" s="465"/>
      <c r="L322" s="465"/>
      <c r="M322" s="465"/>
      <c r="N322" s="465"/>
      <c r="O322" s="465"/>
      <c r="P322" s="830"/>
      <c r="Q322" s="830"/>
      <c r="R322" s="830"/>
      <c r="S322" s="830"/>
      <c r="T322" s="830"/>
      <c r="U322" s="830"/>
      <c r="V322" s="830"/>
      <c r="W322" s="830"/>
    </row>
    <row r="323" spans="1:23" s="457" customFormat="1" ht="51">
      <c r="A323" s="1055"/>
      <c r="B323" s="534">
        <v>336</v>
      </c>
      <c r="C323" s="533"/>
      <c r="D323" s="535" t="s">
        <v>902</v>
      </c>
      <c r="E323" s="464" t="s">
        <v>490</v>
      </c>
      <c r="F323" s="455" t="s">
        <v>903</v>
      </c>
      <c r="G323" s="465" t="s">
        <v>871</v>
      </c>
      <c r="H323" s="465" t="s">
        <v>871</v>
      </c>
      <c r="I323" s="465" t="s">
        <v>871</v>
      </c>
      <c r="J323" s="465"/>
      <c r="K323" s="465"/>
      <c r="L323" s="465"/>
      <c r="M323" s="465"/>
      <c r="N323" s="465"/>
      <c r="O323" s="465"/>
      <c r="P323" s="830"/>
      <c r="Q323" s="830"/>
      <c r="R323" s="830"/>
      <c r="S323" s="830"/>
      <c r="T323" s="830"/>
      <c r="U323" s="830"/>
      <c r="V323" s="830"/>
      <c r="W323" s="830"/>
    </row>
    <row r="324" spans="1:23" s="457" customFormat="1" ht="29">
      <c r="A324" s="1055"/>
      <c r="B324" s="534">
        <v>337</v>
      </c>
      <c r="C324" s="533"/>
      <c r="D324" s="535"/>
      <c r="E324" s="464"/>
      <c r="F324" s="455"/>
      <c r="G324" s="465"/>
      <c r="H324" s="465"/>
      <c r="I324" s="465"/>
      <c r="J324" s="465"/>
      <c r="K324" s="465"/>
      <c r="L324" s="465"/>
      <c r="M324" s="465"/>
      <c r="N324" s="465"/>
      <c r="O324" s="465"/>
      <c r="P324" s="830"/>
      <c r="Q324" s="830"/>
      <c r="R324" s="830"/>
      <c r="S324" s="830"/>
      <c r="T324" s="830"/>
      <c r="U324" s="830"/>
      <c r="V324" s="830"/>
      <c r="W324" s="830"/>
    </row>
    <row r="325" spans="1:23" s="457" customFormat="1" ht="51">
      <c r="A325" s="154"/>
      <c r="B325" s="534">
        <v>338</v>
      </c>
      <c r="C325" s="533"/>
      <c r="D325" s="535" t="s">
        <v>491</v>
      </c>
      <c r="E325" s="464" t="s">
        <v>492</v>
      </c>
      <c r="F325" s="573" t="s">
        <v>904</v>
      </c>
      <c r="G325" s="465" t="s">
        <v>871</v>
      </c>
      <c r="H325" s="465" t="s">
        <v>871</v>
      </c>
      <c r="I325" s="465" t="s">
        <v>871</v>
      </c>
      <c r="J325" s="465"/>
      <c r="K325" s="465"/>
      <c r="L325" s="465"/>
      <c r="M325" s="465"/>
      <c r="N325" s="465"/>
      <c r="O325" s="465"/>
      <c r="P325" s="830"/>
      <c r="Q325" s="830"/>
      <c r="R325" s="830"/>
      <c r="S325" s="830"/>
      <c r="T325" s="830"/>
      <c r="U325" s="830"/>
      <c r="V325" s="830"/>
      <c r="W325" s="830"/>
    </row>
    <row r="326" spans="1:23" s="457" customFormat="1" ht="51">
      <c r="A326" s="154"/>
      <c r="B326" s="534">
        <v>339</v>
      </c>
      <c r="C326" s="533"/>
      <c r="D326" s="535" t="s">
        <v>905</v>
      </c>
      <c r="E326" s="464" t="s">
        <v>494</v>
      </c>
      <c r="F326" s="455" t="s">
        <v>906</v>
      </c>
      <c r="G326" s="465" t="s">
        <v>871</v>
      </c>
      <c r="H326" s="465" t="s">
        <v>871</v>
      </c>
      <c r="I326" s="465" t="s">
        <v>871</v>
      </c>
      <c r="J326" s="465"/>
      <c r="K326" s="465"/>
      <c r="L326" s="465"/>
      <c r="M326" s="465"/>
      <c r="N326" s="465"/>
      <c r="O326" s="465"/>
      <c r="P326" s="830"/>
      <c r="Q326" s="830"/>
      <c r="R326" s="830"/>
      <c r="S326" s="830"/>
      <c r="T326" s="830"/>
      <c r="U326" s="830"/>
      <c r="V326" s="830"/>
      <c r="W326" s="830"/>
    </row>
    <row r="327" spans="1:23" s="457" customFormat="1" ht="51">
      <c r="A327" s="154"/>
      <c r="B327" s="534">
        <v>340</v>
      </c>
      <c r="C327" s="533"/>
      <c r="D327" s="535" t="s">
        <v>907</v>
      </c>
      <c r="E327" s="464" t="s">
        <v>496</v>
      </c>
      <c r="F327" s="455" t="s">
        <v>908</v>
      </c>
      <c r="G327" s="465" t="s">
        <v>871</v>
      </c>
      <c r="H327" s="465" t="s">
        <v>871</v>
      </c>
      <c r="I327" s="465" t="s">
        <v>871</v>
      </c>
      <c r="J327" s="465"/>
      <c r="K327" s="465"/>
      <c r="L327" s="465"/>
      <c r="M327" s="465"/>
      <c r="N327" s="465"/>
      <c r="O327" s="465"/>
      <c r="P327" s="830"/>
      <c r="Q327" s="830"/>
      <c r="R327" s="830"/>
      <c r="S327" s="830"/>
      <c r="T327" s="830"/>
      <c r="U327" s="830"/>
      <c r="V327" s="830"/>
      <c r="W327" s="830"/>
    </row>
    <row r="328" spans="1:23" s="457" customFormat="1" ht="29">
      <c r="A328" s="154"/>
      <c r="B328" s="534">
        <v>341</v>
      </c>
      <c r="C328" s="533"/>
      <c r="D328" s="535"/>
      <c r="E328" s="464"/>
      <c r="F328" s="455"/>
      <c r="G328" s="465"/>
      <c r="H328" s="465"/>
      <c r="I328" s="465"/>
      <c r="J328" s="465"/>
      <c r="K328" s="465"/>
      <c r="L328" s="465"/>
      <c r="M328" s="465"/>
      <c r="N328" s="465"/>
      <c r="O328" s="465"/>
      <c r="P328" s="830"/>
      <c r="Q328" s="830"/>
      <c r="R328" s="830"/>
      <c r="S328" s="830"/>
      <c r="T328" s="830"/>
      <c r="U328" s="830"/>
      <c r="V328" s="830"/>
      <c r="W328" s="830"/>
    </row>
    <row r="329" spans="1:23" s="457" customFormat="1" ht="51">
      <c r="A329" s="154"/>
      <c r="B329" s="534">
        <v>342</v>
      </c>
      <c r="C329" s="533"/>
      <c r="D329" s="535" t="s">
        <v>497</v>
      </c>
      <c r="E329" s="464" t="s">
        <v>498</v>
      </c>
      <c r="F329" s="573" t="s">
        <v>909</v>
      </c>
      <c r="G329" s="465" t="s">
        <v>871</v>
      </c>
      <c r="H329" s="465" t="s">
        <v>871</v>
      </c>
      <c r="I329" s="465" t="s">
        <v>871</v>
      </c>
      <c r="J329" s="465"/>
      <c r="K329" s="465"/>
      <c r="L329" s="465"/>
      <c r="M329" s="465"/>
      <c r="N329" s="465"/>
      <c r="O329" s="465"/>
      <c r="P329" s="830"/>
      <c r="Q329" s="830"/>
      <c r="R329" s="830"/>
      <c r="S329" s="830"/>
      <c r="T329" s="830"/>
      <c r="U329" s="830"/>
      <c r="V329" s="830"/>
      <c r="W329" s="830"/>
    </row>
    <row r="330" spans="1:23" s="457" customFormat="1" ht="68">
      <c r="A330" s="154"/>
      <c r="B330" s="534">
        <v>343</v>
      </c>
      <c r="C330" s="533"/>
      <c r="D330" s="535" t="s">
        <v>499</v>
      </c>
      <c r="E330" s="464" t="s">
        <v>500</v>
      </c>
      <c r="F330" s="455" t="s">
        <v>910</v>
      </c>
      <c r="G330" s="465" t="s">
        <v>871</v>
      </c>
      <c r="H330" s="465" t="s">
        <v>871</v>
      </c>
      <c r="I330" s="465" t="s">
        <v>871</v>
      </c>
      <c r="J330" s="465"/>
      <c r="K330" s="465"/>
      <c r="L330" s="465"/>
      <c r="M330" s="465"/>
      <c r="N330" s="465"/>
      <c r="O330" s="465"/>
      <c r="P330" s="830"/>
      <c r="Q330" s="830"/>
      <c r="R330" s="830"/>
      <c r="S330" s="830"/>
      <c r="T330" s="830"/>
      <c r="U330" s="830"/>
      <c r="V330" s="830"/>
      <c r="W330" s="830"/>
    </row>
    <row r="331" spans="1:23" s="457" customFormat="1" ht="68">
      <c r="A331" s="154"/>
      <c r="B331" s="534">
        <v>344</v>
      </c>
      <c r="C331" s="533"/>
      <c r="D331" s="535" t="s">
        <v>501</v>
      </c>
      <c r="E331" s="464" t="s">
        <v>502</v>
      </c>
      <c r="F331" s="455" t="s">
        <v>911</v>
      </c>
      <c r="G331" s="465" t="s">
        <v>871</v>
      </c>
      <c r="H331" s="465" t="s">
        <v>871</v>
      </c>
      <c r="I331" s="465" t="s">
        <v>871</v>
      </c>
      <c r="J331" s="465"/>
      <c r="K331" s="465"/>
      <c r="L331" s="465"/>
      <c r="M331" s="465"/>
      <c r="N331" s="465"/>
      <c r="O331" s="465"/>
      <c r="P331" s="830"/>
      <c r="Q331" s="830"/>
      <c r="R331" s="830"/>
      <c r="S331" s="830"/>
      <c r="T331" s="830"/>
      <c r="U331" s="830"/>
      <c r="V331" s="830"/>
      <c r="W331" s="830"/>
    </row>
    <row r="332" spans="1:23" s="457" customFormat="1" ht="29">
      <c r="A332" s="154"/>
      <c r="B332" s="534">
        <v>345</v>
      </c>
      <c r="C332" s="533"/>
      <c r="D332" s="535"/>
      <c r="E332" s="464"/>
      <c r="F332" s="455"/>
      <c r="G332" s="465"/>
      <c r="H332" s="465"/>
      <c r="I332" s="465"/>
      <c r="J332" s="465"/>
      <c r="K332" s="465"/>
      <c r="L332" s="465"/>
      <c r="M332" s="465"/>
      <c r="N332" s="465"/>
      <c r="O332" s="465"/>
      <c r="P332" s="830"/>
      <c r="Q332" s="830"/>
      <c r="R332" s="830"/>
      <c r="S332" s="830"/>
      <c r="T332" s="830"/>
      <c r="U332" s="830"/>
      <c r="V332" s="830"/>
      <c r="W332" s="830"/>
    </row>
    <row r="333" spans="1:23" s="457" customFormat="1" ht="51">
      <c r="A333" s="154"/>
      <c r="B333" s="534">
        <v>346</v>
      </c>
      <c r="C333" s="533"/>
      <c r="D333" s="535" t="s">
        <v>503</v>
      </c>
      <c r="E333" s="464" t="s">
        <v>504</v>
      </c>
      <c r="F333" s="830" t="s">
        <v>912</v>
      </c>
      <c r="G333" s="465" t="s">
        <v>871</v>
      </c>
      <c r="H333" s="465" t="s">
        <v>871</v>
      </c>
      <c r="I333" s="465" t="s">
        <v>871</v>
      </c>
      <c r="J333" s="465"/>
      <c r="K333" s="465"/>
      <c r="L333" s="465"/>
      <c r="M333" s="465"/>
      <c r="N333" s="465"/>
      <c r="O333" s="465"/>
      <c r="P333" s="830"/>
      <c r="Q333" s="830"/>
      <c r="R333" s="830"/>
      <c r="S333" s="830"/>
      <c r="T333" s="830"/>
      <c r="U333" s="830"/>
      <c r="V333" s="830"/>
      <c r="W333" s="830"/>
    </row>
    <row r="334" spans="1:23" s="457" customFormat="1" ht="51">
      <c r="A334" s="154"/>
      <c r="B334" s="534">
        <v>347</v>
      </c>
      <c r="C334" s="533"/>
      <c r="D334" s="535" t="s">
        <v>913</v>
      </c>
      <c r="E334" s="464" t="s">
        <v>506</v>
      </c>
      <c r="F334" s="455" t="s">
        <v>914</v>
      </c>
      <c r="G334" s="465" t="s">
        <v>871</v>
      </c>
      <c r="H334" s="465" t="s">
        <v>871</v>
      </c>
      <c r="I334" s="465" t="s">
        <v>871</v>
      </c>
      <c r="J334" s="465"/>
      <c r="K334" s="465"/>
      <c r="L334" s="465"/>
      <c r="M334" s="465"/>
      <c r="N334" s="465"/>
      <c r="O334" s="465"/>
      <c r="P334" s="830"/>
      <c r="Q334" s="830"/>
      <c r="R334" s="830"/>
      <c r="S334" s="830"/>
      <c r="T334" s="830"/>
      <c r="U334" s="830"/>
      <c r="V334" s="830"/>
      <c r="W334" s="830"/>
    </row>
    <row r="335" spans="1:23" s="457" customFormat="1" ht="51">
      <c r="A335" s="154"/>
      <c r="B335" s="534">
        <v>348</v>
      </c>
      <c r="C335" s="533"/>
      <c r="D335" s="535" t="s">
        <v>915</v>
      </c>
      <c r="E335" s="464" t="s">
        <v>508</v>
      </c>
      <c r="F335" s="455" t="s">
        <v>916</v>
      </c>
      <c r="G335" s="465" t="s">
        <v>871</v>
      </c>
      <c r="H335" s="465" t="s">
        <v>871</v>
      </c>
      <c r="I335" s="465" t="s">
        <v>871</v>
      </c>
      <c r="J335" s="465"/>
      <c r="K335" s="465"/>
      <c r="L335" s="465"/>
      <c r="M335" s="465"/>
      <c r="N335" s="465"/>
      <c r="O335" s="465"/>
      <c r="P335" s="830"/>
      <c r="Q335" s="830"/>
      <c r="R335" s="830"/>
      <c r="S335" s="830"/>
      <c r="T335" s="830"/>
      <c r="U335" s="830"/>
      <c r="V335" s="830"/>
      <c r="W335" s="830"/>
    </row>
    <row r="336" spans="1:23" s="457" customFormat="1" ht="29">
      <c r="A336" s="154"/>
      <c r="B336" s="534">
        <v>349</v>
      </c>
      <c r="C336" s="533"/>
      <c r="D336" s="535"/>
      <c r="E336" s="464"/>
      <c r="F336" s="455"/>
      <c r="G336" s="465"/>
      <c r="H336" s="465"/>
      <c r="I336" s="465"/>
      <c r="J336" s="465"/>
      <c r="K336" s="465"/>
      <c r="L336" s="465"/>
      <c r="M336" s="465"/>
      <c r="N336" s="465"/>
      <c r="O336" s="465"/>
      <c r="P336" s="830"/>
      <c r="Q336" s="830"/>
      <c r="R336" s="830"/>
      <c r="S336" s="830"/>
      <c r="T336" s="830"/>
      <c r="U336" s="830"/>
      <c r="V336" s="830"/>
      <c r="W336" s="830"/>
    </row>
    <row r="337" spans="1:23" s="457" customFormat="1" ht="51">
      <c r="A337" s="154"/>
      <c r="B337" s="534">
        <v>350</v>
      </c>
      <c r="C337" s="533"/>
      <c r="D337" s="535" t="s">
        <v>509</v>
      </c>
      <c r="E337" s="464" t="s">
        <v>510</v>
      </c>
      <c r="F337" s="573" t="s">
        <v>917</v>
      </c>
      <c r="G337" s="465" t="s">
        <v>871</v>
      </c>
      <c r="H337" s="465" t="s">
        <v>871</v>
      </c>
      <c r="I337" s="465" t="s">
        <v>871</v>
      </c>
      <c r="J337" s="465"/>
      <c r="K337" s="465"/>
      <c r="L337" s="465"/>
      <c r="M337" s="465"/>
      <c r="N337" s="465"/>
      <c r="O337" s="465"/>
      <c r="P337" s="830"/>
      <c r="Q337" s="830"/>
      <c r="R337" s="830"/>
      <c r="S337" s="830"/>
      <c r="T337" s="830"/>
      <c r="U337" s="830"/>
      <c r="V337" s="830"/>
      <c r="W337" s="830"/>
    </row>
    <row r="338" spans="1:23" s="457" customFormat="1" ht="51">
      <c r="A338" s="154"/>
      <c r="B338" s="534">
        <v>351</v>
      </c>
      <c r="C338" s="533"/>
      <c r="D338" s="535" t="s">
        <v>511</v>
      </c>
      <c r="E338" s="464" t="s">
        <v>512</v>
      </c>
      <c r="F338" s="455" t="s">
        <v>918</v>
      </c>
      <c r="G338" s="465" t="s">
        <v>871</v>
      </c>
      <c r="H338" s="465" t="s">
        <v>871</v>
      </c>
      <c r="I338" s="465" t="s">
        <v>871</v>
      </c>
      <c r="J338" s="465"/>
      <c r="K338" s="465"/>
      <c r="L338" s="465"/>
      <c r="M338" s="465"/>
      <c r="N338" s="465"/>
      <c r="O338" s="465"/>
      <c r="P338" s="830"/>
      <c r="Q338" s="830"/>
      <c r="R338" s="830"/>
      <c r="S338" s="830"/>
      <c r="T338" s="830"/>
      <c r="U338" s="830"/>
      <c r="V338" s="830"/>
      <c r="W338" s="830"/>
    </row>
    <row r="339" spans="1:23" s="457" customFormat="1" ht="51">
      <c r="A339" s="154"/>
      <c r="B339" s="534">
        <v>352</v>
      </c>
      <c r="C339" s="533"/>
      <c r="D339" s="535" t="s">
        <v>513</v>
      </c>
      <c r="E339" s="464" t="s">
        <v>514</v>
      </c>
      <c r="F339" s="455" t="s">
        <v>919</v>
      </c>
      <c r="G339" s="465" t="s">
        <v>871</v>
      </c>
      <c r="H339" s="465" t="s">
        <v>871</v>
      </c>
      <c r="I339" s="465" t="s">
        <v>871</v>
      </c>
      <c r="J339" s="465"/>
      <c r="K339" s="465"/>
      <c r="L339" s="465"/>
      <c r="M339" s="465"/>
      <c r="N339" s="465"/>
      <c r="O339" s="465"/>
      <c r="P339" s="830"/>
      <c r="Q339" s="830"/>
      <c r="R339" s="830"/>
      <c r="S339" s="830"/>
      <c r="T339" s="830"/>
      <c r="U339" s="830"/>
      <c r="V339" s="830"/>
      <c r="W339" s="830"/>
    </row>
    <row r="340" spans="1:23" s="457" customFormat="1" ht="29">
      <c r="A340" s="154"/>
      <c r="B340" s="534">
        <v>353</v>
      </c>
      <c r="C340" s="533"/>
      <c r="D340" s="535"/>
      <c r="E340" s="464"/>
      <c r="F340" s="536"/>
      <c r="G340" s="465"/>
      <c r="H340" s="465"/>
      <c r="I340" s="465"/>
      <c r="J340" s="465"/>
      <c r="K340" s="465"/>
      <c r="L340" s="465"/>
      <c r="M340" s="465"/>
      <c r="N340" s="465"/>
      <c r="O340" s="465"/>
      <c r="P340" s="830"/>
      <c r="Q340" s="830"/>
      <c r="R340" s="830"/>
      <c r="S340" s="830"/>
      <c r="T340" s="830"/>
      <c r="U340" s="830"/>
      <c r="V340" s="830"/>
      <c r="W340" s="830"/>
    </row>
    <row r="341" spans="1:23" s="457" customFormat="1" ht="34">
      <c r="A341" s="154"/>
      <c r="B341" s="534">
        <v>354</v>
      </c>
      <c r="C341" s="533"/>
      <c r="D341" s="535" t="s">
        <v>515</v>
      </c>
      <c r="E341" s="464" t="s">
        <v>516</v>
      </c>
      <c r="F341" s="830" t="s">
        <v>920</v>
      </c>
      <c r="G341" s="465" t="s">
        <v>871</v>
      </c>
      <c r="H341" s="465" t="s">
        <v>871</v>
      </c>
      <c r="I341" s="465" t="s">
        <v>871</v>
      </c>
      <c r="J341" s="465"/>
      <c r="K341" s="465"/>
      <c r="L341" s="465"/>
      <c r="M341" s="465"/>
      <c r="N341" s="465"/>
      <c r="O341" s="465"/>
      <c r="P341" s="830"/>
      <c r="Q341" s="830"/>
      <c r="R341" s="830"/>
      <c r="S341" s="830"/>
      <c r="T341" s="830"/>
      <c r="U341" s="830"/>
      <c r="V341" s="830"/>
      <c r="W341" s="830"/>
    </row>
    <row r="342" spans="1:23" s="457" customFormat="1" ht="51">
      <c r="A342" s="1055"/>
      <c r="B342" s="534">
        <v>355</v>
      </c>
      <c r="C342" s="533"/>
      <c r="D342" s="535" t="s">
        <v>517</v>
      </c>
      <c r="E342" s="464" t="s">
        <v>518</v>
      </c>
      <c r="F342" s="830" t="s">
        <v>921</v>
      </c>
      <c r="G342" s="465" t="s">
        <v>871</v>
      </c>
      <c r="H342" s="465" t="s">
        <v>871</v>
      </c>
      <c r="I342" s="465" t="s">
        <v>871</v>
      </c>
      <c r="J342" s="465"/>
      <c r="K342" s="465"/>
      <c r="L342" s="465"/>
      <c r="M342" s="465"/>
      <c r="N342" s="465"/>
      <c r="O342" s="465"/>
      <c r="P342" s="830"/>
      <c r="Q342" s="830"/>
      <c r="R342" s="830"/>
      <c r="S342" s="830"/>
      <c r="T342" s="830"/>
      <c r="U342" s="830"/>
      <c r="V342" s="830"/>
      <c r="W342" s="830"/>
    </row>
    <row r="343" spans="1:23" s="457" customFormat="1" ht="51">
      <c r="A343" s="1055"/>
      <c r="B343" s="534">
        <v>356</v>
      </c>
      <c r="C343" s="533"/>
      <c r="D343" s="535" t="s">
        <v>519</v>
      </c>
      <c r="E343" s="464" t="s">
        <v>520</v>
      </c>
      <c r="F343" s="830" t="s">
        <v>922</v>
      </c>
      <c r="G343" s="465" t="s">
        <v>871</v>
      </c>
      <c r="H343" s="465" t="s">
        <v>871</v>
      </c>
      <c r="I343" s="465" t="s">
        <v>871</v>
      </c>
      <c r="J343" s="465"/>
      <c r="K343" s="465"/>
      <c r="L343" s="465"/>
      <c r="M343" s="465"/>
      <c r="N343" s="465"/>
      <c r="O343" s="465"/>
      <c r="P343" s="830"/>
      <c r="Q343" s="830"/>
      <c r="R343" s="830"/>
      <c r="S343" s="830"/>
      <c r="T343" s="830"/>
      <c r="U343" s="830"/>
      <c r="V343" s="830"/>
      <c r="W343" s="830"/>
    </row>
    <row r="344" spans="1:23" ht="29">
      <c r="A344" s="1055"/>
      <c r="B344" s="468"/>
      <c r="C344" s="458"/>
      <c r="D344" s="469"/>
      <c r="E344" s="459"/>
      <c r="F344" s="507"/>
      <c r="G344" s="465"/>
      <c r="H344" s="465"/>
      <c r="I344" s="465"/>
      <c r="J344" s="495"/>
      <c r="K344" s="495"/>
      <c r="L344" s="495"/>
      <c r="M344" s="495"/>
      <c r="N344" s="495"/>
      <c r="O344" s="495"/>
      <c r="P344" s="824"/>
      <c r="Q344" s="824"/>
      <c r="R344" s="824"/>
      <c r="S344" s="824"/>
      <c r="T344" s="824"/>
      <c r="U344" s="824"/>
      <c r="V344" s="824"/>
      <c r="W344" s="824"/>
    </row>
    <row r="345" spans="1:23" ht="29">
      <c r="B345" s="146">
        <v>358</v>
      </c>
      <c r="C345" s="508" t="s">
        <v>521</v>
      </c>
      <c r="D345" s="144"/>
      <c r="E345" s="144"/>
      <c r="F345" s="145"/>
      <c r="G345" s="145"/>
      <c r="H345" s="145"/>
      <c r="I345" s="145"/>
      <c r="J345" s="825"/>
      <c r="K345" s="825"/>
      <c r="L345" s="825"/>
      <c r="M345" s="825"/>
      <c r="N345" s="825"/>
      <c r="O345" s="825"/>
      <c r="P345" s="825"/>
      <c r="Q345" s="825"/>
      <c r="R345" s="825"/>
      <c r="S345" s="825"/>
      <c r="T345" s="825"/>
      <c r="U345" s="825"/>
      <c r="V345" s="825"/>
      <c r="W345" s="825"/>
    </row>
    <row r="346" spans="1:23" ht="29">
      <c r="B346" s="407">
        <v>359</v>
      </c>
      <c r="C346" s="255" t="s">
        <v>522</v>
      </c>
      <c r="D346" s="142"/>
      <c r="E346" s="142"/>
      <c r="F346" s="143"/>
      <c r="G346" s="143"/>
      <c r="H346" s="143"/>
      <c r="I346" s="143"/>
      <c r="J346" s="825"/>
      <c r="K346" s="825"/>
      <c r="L346" s="825"/>
      <c r="M346" s="825"/>
      <c r="N346" s="825"/>
      <c r="O346" s="825"/>
      <c r="P346" s="825"/>
      <c r="Q346" s="825"/>
      <c r="R346" s="825"/>
      <c r="S346" s="825"/>
      <c r="T346" s="825"/>
      <c r="U346" s="825"/>
      <c r="V346" s="825"/>
      <c r="W346" s="825"/>
    </row>
    <row r="347" spans="1:23" s="457" customFormat="1" ht="187">
      <c r="A347" s="154"/>
      <c r="B347" s="543">
        <v>360</v>
      </c>
      <c r="C347" s="544"/>
      <c r="D347" s="545" t="s">
        <v>523</v>
      </c>
      <c r="E347" s="464" t="s">
        <v>524</v>
      </c>
      <c r="F347" s="830" t="s">
        <v>923</v>
      </c>
      <c r="G347" s="830" t="s">
        <v>924</v>
      </c>
      <c r="H347" s="826"/>
      <c r="I347" s="829" t="s">
        <v>925</v>
      </c>
      <c r="J347" s="826"/>
      <c r="K347" s="826"/>
      <c r="L347" s="826"/>
      <c r="M347" s="826"/>
      <c r="N347" s="826"/>
      <c r="O347" s="826"/>
      <c r="P347" s="826"/>
      <c r="Q347" s="826"/>
      <c r="R347" s="826"/>
      <c r="S347" s="826"/>
      <c r="T347" s="826"/>
      <c r="U347" s="826"/>
      <c r="V347" s="826"/>
      <c r="W347" s="826"/>
    </row>
    <row r="348" spans="1:23" ht="29">
      <c r="B348" s="407">
        <v>361</v>
      </c>
      <c r="C348" s="255" t="s">
        <v>525</v>
      </c>
      <c r="D348" s="142"/>
      <c r="E348" s="142"/>
      <c r="F348" s="143"/>
      <c r="G348" s="143"/>
      <c r="H348" s="143"/>
      <c r="I348" s="143"/>
      <c r="J348" s="825"/>
      <c r="K348" s="825"/>
      <c r="L348" s="825"/>
      <c r="M348" s="825"/>
      <c r="N348" s="825"/>
      <c r="O348" s="825"/>
      <c r="P348" s="825"/>
      <c r="Q348" s="825"/>
      <c r="R348" s="825"/>
      <c r="S348" s="825"/>
      <c r="T348" s="825"/>
      <c r="U348" s="825"/>
      <c r="V348" s="825"/>
      <c r="W348" s="825"/>
    </row>
    <row r="349" spans="1:23" s="457" customFormat="1" ht="85">
      <c r="A349" s="154"/>
      <c r="B349" s="543">
        <v>362</v>
      </c>
      <c r="C349" s="544"/>
      <c r="D349" s="545" t="s">
        <v>526</v>
      </c>
      <c r="E349" s="464" t="s">
        <v>527</v>
      </c>
      <c r="F349" s="830" t="s">
        <v>926</v>
      </c>
      <c r="G349" s="830" t="s">
        <v>927</v>
      </c>
      <c r="H349" s="830" t="s">
        <v>928</v>
      </c>
      <c r="I349" s="456" t="s">
        <v>929</v>
      </c>
      <c r="J349" s="826"/>
      <c r="K349" s="826"/>
      <c r="L349" s="826"/>
      <c r="M349" s="826"/>
      <c r="N349" s="826"/>
      <c r="O349" s="826"/>
      <c r="P349" s="826"/>
      <c r="Q349" s="826"/>
      <c r="R349" s="826"/>
      <c r="S349" s="826"/>
      <c r="T349" s="826"/>
      <c r="U349" s="826"/>
      <c r="V349" s="826"/>
      <c r="W349" s="826"/>
    </row>
    <row r="350" spans="1:23" s="457" customFormat="1" ht="85">
      <c r="A350" s="154"/>
      <c r="B350" s="543">
        <v>363</v>
      </c>
      <c r="C350" s="544"/>
      <c r="D350" s="545" t="s">
        <v>930</v>
      </c>
      <c r="E350" s="464" t="s">
        <v>529</v>
      </c>
      <c r="F350" s="830" t="s">
        <v>931</v>
      </c>
      <c r="G350" s="830" t="s">
        <v>932</v>
      </c>
      <c r="H350" s="830" t="s">
        <v>933</v>
      </c>
      <c r="I350" s="456" t="s">
        <v>929</v>
      </c>
      <c r="J350" s="826"/>
      <c r="K350" s="826"/>
      <c r="L350" s="826"/>
      <c r="M350" s="826"/>
      <c r="N350" s="826"/>
      <c r="O350" s="826"/>
      <c r="P350" s="826"/>
      <c r="Q350" s="826"/>
      <c r="R350" s="826"/>
      <c r="S350" s="826"/>
      <c r="T350" s="826"/>
      <c r="U350" s="826"/>
      <c r="V350" s="826"/>
      <c r="W350" s="826"/>
    </row>
    <row r="351" spans="1:23" s="457" customFormat="1" ht="85">
      <c r="A351" s="154"/>
      <c r="B351" s="543">
        <v>364</v>
      </c>
      <c r="C351" s="544"/>
      <c r="D351" s="545" t="s">
        <v>934</v>
      </c>
      <c r="E351" s="464" t="s">
        <v>531</v>
      </c>
      <c r="F351" s="830" t="s">
        <v>935</v>
      </c>
      <c r="G351" s="830" t="s">
        <v>936</v>
      </c>
      <c r="H351" s="830" t="s">
        <v>937</v>
      </c>
      <c r="I351" s="456" t="s">
        <v>929</v>
      </c>
      <c r="J351" s="461"/>
      <c r="K351" s="461"/>
      <c r="L351" s="461"/>
      <c r="M351" s="461"/>
      <c r="N351" s="461"/>
      <c r="O351" s="461"/>
      <c r="P351" s="461"/>
      <c r="Q351" s="461"/>
      <c r="R351" s="461"/>
      <c r="S351" s="461"/>
      <c r="T351" s="461"/>
      <c r="U351" s="461"/>
      <c r="V351" s="461"/>
      <c r="W351" s="461"/>
    </row>
    <row r="352" spans="1:23" s="457" customFormat="1" ht="29">
      <c r="A352" s="154"/>
      <c r="B352" s="543">
        <v>365</v>
      </c>
      <c r="C352" s="544"/>
      <c r="D352" s="545"/>
      <c r="E352" s="464"/>
      <c r="F352" s="455"/>
      <c r="G352" s="461"/>
      <c r="H352" s="461"/>
      <c r="I352" s="456"/>
      <c r="J352" s="461"/>
      <c r="K352" s="461"/>
      <c r="L352" s="461"/>
      <c r="M352" s="461"/>
      <c r="N352" s="461"/>
      <c r="O352" s="461"/>
      <c r="P352" s="461"/>
      <c r="Q352" s="461"/>
      <c r="R352" s="461"/>
      <c r="S352" s="461"/>
      <c r="T352" s="461"/>
      <c r="U352" s="461"/>
      <c r="V352" s="461"/>
      <c r="W352" s="461"/>
    </row>
    <row r="353" spans="1:23" s="457" customFormat="1" ht="85">
      <c r="A353" s="154"/>
      <c r="B353" s="543">
        <v>366</v>
      </c>
      <c r="C353" s="544"/>
      <c r="D353" s="545" t="s">
        <v>532</v>
      </c>
      <c r="E353" s="464" t="s">
        <v>533</v>
      </c>
      <c r="F353" s="830" t="s">
        <v>938</v>
      </c>
      <c r="G353" s="441" t="s">
        <v>939</v>
      </c>
      <c r="H353" s="830" t="s">
        <v>940</v>
      </c>
      <c r="I353" s="456" t="s">
        <v>929</v>
      </c>
      <c r="J353" s="461"/>
      <c r="K353" s="461"/>
      <c r="L353" s="461"/>
      <c r="M353" s="461"/>
      <c r="N353" s="461"/>
      <c r="O353" s="461"/>
      <c r="P353" s="461"/>
      <c r="Q353" s="461"/>
      <c r="R353" s="461"/>
      <c r="S353" s="461"/>
      <c r="T353" s="461"/>
      <c r="U353" s="461"/>
      <c r="V353" s="461"/>
      <c r="W353" s="461"/>
    </row>
    <row r="354" spans="1:23" s="457" customFormat="1" ht="102">
      <c r="A354" s="154"/>
      <c r="B354" s="543">
        <v>367</v>
      </c>
      <c r="C354" s="544"/>
      <c r="D354" s="545" t="s">
        <v>941</v>
      </c>
      <c r="E354" s="464" t="s">
        <v>535</v>
      </c>
      <c r="F354" s="830" t="s">
        <v>942</v>
      </c>
      <c r="G354" s="441" t="s">
        <v>943</v>
      </c>
      <c r="H354" s="830" t="s">
        <v>944</v>
      </c>
      <c r="I354" s="456" t="s">
        <v>929</v>
      </c>
      <c r="J354" s="461"/>
      <c r="K354" s="461"/>
      <c r="L354" s="461"/>
      <c r="M354" s="461"/>
      <c r="N354" s="461"/>
      <c r="O354" s="461"/>
      <c r="P354" s="461"/>
      <c r="Q354" s="461"/>
      <c r="R354" s="461"/>
      <c r="S354" s="461"/>
      <c r="T354" s="461"/>
      <c r="U354" s="461"/>
      <c r="V354" s="461"/>
      <c r="W354" s="461"/>
    </row>
    <row r="355" spans="1:23" s="457" customFormat="1" ht="102">
      <c r="A355" s="154"/>
      <c r="B355" s="543">
        <v>368</v>
      </c>
      <c r="C355" s="544"/>
      <c r="D355" s="545" t="s">
        <v>945</v>
      </c>
      <c r="E355" s="464" t="s">
        <v>537</v>
      </c>
      <c r="F355" s="830" t="s">
        <v>946</v>
      </c>
      <c r="G355" s="441" t="s">
        <v>947</v>
      </c>
      <c r="H355" s="830" t="s">
        <v>948</v>
      </c>
      <c r="I355" s="456" t="s">
        <v>929</v>
      </c>
      <c r="J355" s="461"/>
      <c r="K355" s="461"/>
      <c r="L355" s="461"/>
      <c r="M355" s="461"/>
      <c r="N355" s="461"/>
      <c r="O355" s="461"/>
      <c r="P355" s="461"/>
      <c r="Q355" s="461"/>
      <c r="R355" s="461"/>
      <c r="S355" s="461"/>
      <c r="T355" s="461"/>
      <c r="U355" s="461"/>
      <c r="V355" s="461"/>
      <c r="W355" s="461"/>
    </row>
    <row r="356" spans="1:23" ht="29">
      <c r="B356" s="468"/>
      <c r="C356" s="458"/>
      <c r="D356" s="469" t="e" vm="1">
        <v>#VALUE!</v>
      </c>
      <c r="E356" s="459"/>
      <c r="F356" s="507"/>
      <c r="G356" s="495"/>
      <c r="H356" s="495"/>
      <c r="I356" s="495"/>
      <c r="J356" s="495"/>
      <c r="K356" s="495"/>
      <c r="L356" s="495"/>
      <c r="M356" s="495"/>
      <c r="N356" s="495"/>
      <c r="O356" s="495"/>
      <c r="P356" s="824"/>
      <c r="Q356" s="824"/>
      <c r="R356" s="824"/>
      <c r="S356" s="824"/>
      <c r="T356" s="824"/>
      <c r="U356" s="824"/>
      <c r="V356" s="824"/>
      <c r="W356" s="824"/>
    </row>
    <row r="357" spans="1:23" ht="29">
      <c r="B357" s="567">
        <v>370</v>
      </c>
      <c r="C357" s="546" t="s">
        <v>949</v>
      </c>
      <c r="D357" s="547"/>
      <c r="E357" s="548"/>
      <c r="F357" s="548"/>
      <c r="G357" s="548"/>
      <c r="H357" s="548"/>
      <c r="I357" s="548"/>
      <c r="J357" s="495"/>
      <c r="K357" s="495"/>
      <c r="L357" s="495"/>
      <c r="M357" s="495"/>
      <c r="N357" s="495"/>
      <c r="O357" s="495"/>
      <c r="P357" s="824"/>
      <c r="Q357" s="824"/>
      <c r="R357" s="824"/>
      <c r="S357" s="824"/>
      <c r="T357" s="824"/>
      <c r="U357" s="824"/>
      <c r="V357" s="824"/>
      <c r="W357" s="824"/>
    </row>
    <row r="358" spans="1:23" ht="178" customHeight="1">
      <c r="A358" s="157"/>
      <c r="B358" s="564">
        <v>371</v>
      </c>
      <c r="C358" s="560"/>
      <c r="D358" s="846"/>
      <c r="E358" s="1224" t="s">
        <v>539</v>
      </c>
      <c r="F358" s="1224"/>
      <c r="G358" s="561"/>
      <c r="H358" s="559"/>
      <c r="I358" s="559"/>
      <c r="J358" s="495"/>
      <c r="K358" s="495"/>
      <c r="L358" s="495"/>
      <c r="M358" s="495"/>
      <c r="N358" s="495"/>
      <c r="O358" s="495"/>
      <c r="P358" s="824"/>
      <c r="Q358" s="824"/>
      <c r="R358" s="824"/>
      <c r="S358" s="824"/>
      <c r="T358" s="824"/>
      <c r="U358" s="824"/>
      <c r="V358" s="824"/>
      <c r="W358" s="824"/>
    </row>
    <row r="359" spans="1:23" ht="51">
      <c r="A359" s="158"/>
      <c r="B359" s="564">
        <v>372</v>
      </c>
      <c r="C359" s="565"/>
      <c r="D359" s="566" t="s">
        <v>950</v>
      </c>
      <c r="E359" s="562" t="s">
        <v>951</v>
      </c>
      <c r="F359" s="465" t="s">
        <v>952</v>
      </c>
      <c r="G359" s="465" t="s">
        <v>953</v>
      </c>
      <c r="H359" s="465" t="s">
        <v>954</v>
      </c>
      <c r="I359" s="847"/>
      <c r="J359" s="495"/>
      <c r="K359" s="495"/>
      <c r="L359" s="495"/>
      <c r="M359" s="495"/>
      <c r="N359" s="495"/>
      <c r="O359" s="495"/>
      <c r="P359" s="824"/>
      <c r="Q359" s="824"/>
      <c r="R359" s="824"/>
      <c r="S359" s="824"/>
      <c r="T359" s="824"/>
      <c r="U359" s="824"/>
      <c r="V359" s="824"/>
      <c r="W359" s="824"/>
    </row>
    <row r="360" spans="1:23" ht="68">
      <c r="B360" s="564">
        <v>373</v>
      </c>
      <c r="C360" s="565"/>
      <c r="D360" s="566" t="s">
        <v>543</v>
      </c>
      <c r="E360" s="464" t="s">
        <v>545</v>
      </c>
      <c r="F360" s="465" t="s">
        <v>955</v>
      </c>
      <c r="G360" s="465" t="s">
        <v>956</v>
      </c>
      <c r="H360" s="465" t="s">
        <v>954</v>
      </c>
      <c r="I360" s="465"/>
      <c r="J360" s="495"/>
      <c r="K360" s="495"/>
      <c r="L360" s="495"/>
      <c r="M360" s="495"/>
      <c r="N360" s="495"/>
      <c r="O360" s="495"/>
      <c r="P360" s="824"/>
      <c r="Q360" s="824"/>
      <c r="R360" s="824"/>
      <c r="S360" s="824"/>
      <c r="T360" s="824"/>
      <c r="U360" s="824"/>
      <c r="V360" s="824"/>
      <c r="W360" s="824"/>
    </row>
    <row r="361" spans="1:23" ht="51">
      <c r="A361" s="158"/>
      <c r="B361" s="564">
        <v>374</v>
      </c>
      <c r="C361" s="565"/>
      <c r="D361" s="566" t="s">
        <v>957</v>
      </c>
      <c r="E361" s="464" t="s">
        <v>548</v>
      </c>
      <c r="F361" s="563" t="s">
        <v>958</v>
      </c>
      <c r="G361" s="465" t="s">
        <v>959</v>
      </c>
      <c r="H361" s="465" t="s">
        <v>954</v>
      </c>
      <c r="I361" s="465"/>
      <c r="J361" s="495"/>
      <c r="K361" s="495"/>
      <c r="L361" s="495"/>
      <c r="M361" s="495"/>
      <c r="N361" s="495"/>
      <c r="O361" s="495"/>
      <c r="P361" s="824"/>
      <c r="Q361" s="824"/>
      <c r="R361" s="824"/>
      <c r="S361" s="824"/>
      <c r="T361" s="824"/>
      <c r="U361" s="824"/>
      <c r="V361" s="824"/>
      <c r="W361" s="824"/>
    </row>
    <row r="362" spans="1:23" ht="51">
      <c r="B362" s="564">
        <v>375</v>
      </c>
      <c r="C362" s="565"/>
      <c r="D362" s="566" t="s">
        <v>549</v>
      </c>
      <c r="E362" s="464" t="s">
        <v>551</v>
      </c>
      <c r="F362" s="563" t="s">
        <v>960</v>
      </c>
      <c r="G362" s="465" t="s">
        <v>961</v>
      </c>
      <c r="H362" s="465" t="s">
        <v>954</v>
      </c>
      <c r="I362" s="465"/>
      <c r="J362" s="495"/>
      <c r="K362" s="495"/>
      <c r="L362" s="495"/>
      <c r="M362" s="495"/>
      <c r="N362" s="495"/>
      <c r="O362" s="495"/>
      <c r="P362" s="824"/>
      <c r="Q362" s="824"/>
      <c r="R362" s="824"/>
      <c r="S362" s="824"/>
      <c r="T362" s="824"/>
      <c r="U362" s="824"/>
      <c r="V362" s="824"/>
      <c r="W362" s="824"/>
    </row>
    <row r="363" spans="1:23" ht="68">
      <c r="B363" s="564">
        <v>376</v>
      </c>
      <c r="C363" s="565"/>
      <c r="D363" s="566" t="s">
        <v>552</v>
      </c>
      <c r="E363" s="464" t="s">
        <v>554</v>
      </c>
      <c r="F363" s="563" t="s">
        <v>962</v>
      </c>
      <c r="G363" s="465" t="s">
        <v>963</v>
      </c>
      <c r="H363" s="465" t="s">
        <v>954</v>
      </c>
      <c r="I363" s="465"/>
      <c r="J363" s="495"/>
      <c r="K363" s="495"/>
      <c r="L363" s="495"/>
      <c r="M363" s="495"/>
      <c r="N363" s="495"/>
      <c r="O363" s="495"/>
      <c r="P363" s="824"/>
      <c r="Q363" s="824"/>
      <c r="R363" s="824"/>
      <c r="S363" s="824"/>
      <c r="T363" s="824"/>
      <c r="U363" s="824"/>
      <c r="V363" s="824"/>
      <c r="W363" s="824"/>
    </row>
    <row r="364" spans="1:23" ht="51">
      <c r="B364" s="564">
        <v>377</v>
      </c>
      <c r="C364" s="565"/>
      <c r="D364" s="566" t="s">
        <v>555</v>
      </c>
      <c r="E364" s="464" t="s">
        <v>557</v>
      </c>
      <c r="F364" s="563" t="s">
        <v>964</v>
      </c>
      <c r="G364" s="465" t="s">
        <v>965</v>
      </c>
      <c r="H364" s="465" t="s">
        <v>954</v>
      </c>
      <c r="I364" s="465"/>
      <c r="J364" s="495"/>
      <c r="K364" s="495"/>
      <c r="L364" s="495"/>
      <c r="M364" s="495"/>
      <c r="N364" s="495"/>
      <c r="O364" s="495"/>
      <c r="P364" s="824"/>
      <c r="Q364" s="824"/>
      <c r="R364" s="824"/>
      <c r="S364" s="824"/>
      <c r="T364" s="824"/>
      <c r="U364" s="824"/>
      <c r="V364" s="824"/>
      <c r="W364" s="824"/>
    </row>
    <row r="365" spans="1:23" ht="29">
      <c r="B365" s="468"/>
      <c r="C365" s="458"/>
      <c r="D365" s="469" t="e" vm="1">
        <v>#VALUE!</v>
      </c>
      <c r="E365" s="459"/>
      <c r="F365" s="507"/>
      <c r="G365" s="495"/>
      <c r="H365" s="495"/>
      <c r="I365" s="495"/>
      <c r="J365" s="495"/>
      <c r="K365" s="495"/>
      <c r="L365" s="495"/>
      <c r="M365" s="495"/>
      <c r="N365" s="495"/>
      <c r="O365" s="495"/>
      <c r="P365" s="824"/>
      <c r="Q365" s="824"/>
      <c r="R365" s="824"/>
      <c r="S365" s="824"/>
      <c r="T365" s="824"/>
      <c r="U365" s="824"/>
      <c r="V365" s="824"/>
      <c r="W365" s="824"/>
    </row>
    <row r="366" spans="1:23" ht="29">
      <c r="B366" s="509">
        <v>379</v>
      </c>
      <c r="C366" s="258" t="s">
        <v>558</v>
      </c>
      <c r="D366" s="510"/>
      <c r="E366" s="151"/>
      <c r="F366" s="151"/>
      <c r="G366" s="151"/>
      <c r="H366" s="151"/>
      <c r="I366" s="151"/>
      <c r="J366" s="495"/>
      <c r="K366" s="495"/>
      <c r="L366" s="495"/>
      <c r="M366" s="495"/>
      <c r="N366" s="495"/>
      <c r="O366" s="495"/>
      <c r="P366" s="824"/>
      <c r="Q366" s="824"/>
      <c r="R366" s="824"/>
      <c r="S366" s="824"/>
      <c r="T366" s="824"/>
      <c r="U366" s="824"/>
      <c r="V366" s="824"/>
      <c r="W366" s="824"/>
    </row>
    <row r="367" spans="1:23" s="457" customFormat="1" ht="68">
      <c r="A367" s="154"/>
      <c r="B367" s="549">
        <v>380</v>
      </c>
      <c r="C367" s="550"/>
      <c r="D367" s="551" t="s">
        <v>559</v>
      </c>
      <c r="E367" s="464" t="s">
        <v>966</v>
      </c>
      <c r="F367" s="830" t="s">
        <v>967</v>
      </c>
      <c r="G367" s="830" t="s">
        <v>968</v>
      </c>
      <c r="H367" s="465"/>
      <c r="I367" s="465"/>
      <c r="J367" s="465"/>
      <c r="K367" s="465"/>
      <c r="L367" s="465"/>
      <c r="M367" s="465"/>
      <c r="N367" s="465"/>
      <c r="O367" s="465"/>
      <c r="P367" s="830"/>
      <c r="Q367" s="830"/>
      <c r="R367" s="830"/>
      <c r="S367" s="830"/>
      <c r="T367" s="830"/>
      <c r="U367" s="830"/>
      <c r="V367" s="830"/>
      <c r="W367" s="830"/>
    </row>
    <row r="368" spans="1:23">
      <c r="B368" s="511"/>
      <c r="C368" s="511"/>
      <c r="D368" s="512"/>
      <c r="E368" s="500"/>
      <c r="F368" s="507"/>
      <c r="G368" s="495"/>
      <c r="H368" s="495"/>
      <c r="I368" s="495"/>
      <c r="J368" s="495"/>
      <c r="K368" s="495"/>
      <c r="L368" s="495"/>
      <c r="M368" s="495"/>
      <c r="N368" s="495"/>
      <c r="O368" s="495"/>
      <c r="P368" s="824"/>
      <c r="Q368" s="824"/>
      <c r="R368" s="824"/>
      <c r="S368" s="824"/>
      <c r="T368" s="824"/>
      <c r="U368" s="824"/>
      <c r="V368" s="824"/>
      <c r="W368" s="824"/>
    </row>
    <row r="369" spans="1:23" hidden="1">
      <c r="B369" s="468"/>
      <c r="C369" s="511"/>
      <c r="D369" s="469"/>
      <c r="E369" s="500"/>
      <c r="F369" s="507"/>
      <c r="G369" s="495"/>
      <c r="H369" s="495"/>
      <c r="I369" s="495"/>
      <c r="J369" s="495"/>
      <c r="K369" s="495"/>
      <c r="L369" s="495"/>
      <c r="M369" s="495"/>
      <c r="N369" s="495"/>
      <c r="O369" s="495"/>
      <c r="P369" s="824"/>
      <c r="Q369" s="824"/>
      <c r="R369" s="824"/>
      <c r="S369" s="824"/>
      <c r="T369" s="824"/>
      <c r="U369" s="824"/>
      <c r="V369" s="824"/>
      <c r="W369" s="824"/>
    </row>
    <row r="370" spans="1:23" ht="24" hidden="1">
      <c r="A370" s="157"/>
      <c r="B370" s="468"/>
      <c r="C370" s="511"/>
      <c r="D370" s="469"/>
      <c r="E370" s="500"/>
      <c r="F370" s="507"/>
      <c r="G370" s="495"/>
      <c r="H370" s="495"/>
      <c r="I370" s="495"/>
      <c r="J370" s="495"/>
      <c r="K370" s="495"/>
      <c r="L370" s="495"/>
      <c r="M370" s="495"/>
      <c r="N370" s="495"/>
      <c r="O370" s="495"/>
      <c r="P370" s="824"/>
      <c r="Q370" s="824"/>
      <c r="R370" s="824"/>
      <c r="S370" s="824"/>
      <c r="T370" s="824"/>
      <c r="U370" s="824"/>
      <c r="V370" s="824"/>
      <c r="W370" s="824"/>
    </row>
    <row r="371" spans="1:23" hidden="1">
      <c r="B371" s="468"/>
      <c r="C371" s="511"/>
      <c r="D371" s="469"/>
      <c r="E371" s="500"/>
      <c r="F371" s="507"/>
      <c r="G371" s="495"/>
      <c r="H371" s="495"/>
      <c r="I371" s="495"/>
      <c r="J371" s="495"/>
      <c r="K371" s="495"/>
      <c r="L371" s="495"/>
      <c r="M371" s="495"/>
      <c r="N371" s="495"/>
      <c r="O371" s="495"/>
      <c r="P371" s="824"/>
      <c r="Q371" s="824"/>
      <c r="R371" s="824"/>
      <c r="S371" s="824"/>
      <c r="T371" s="824"/>
      <c r="U371" s="824"/>
      <c r="V371" s="824"/>
      <c r="W371" s="824"/>
    </row>
    <row r="372" spans="1:23" hidden="1">
      <c r="B372" s="513"/>
      <c r="C372" s="514"/>
      <c r="D372" s="513"/>
      <c r="E372" s="495"/>
      <c r="F372" s="495"/>
      <c r="G372" s="495"/>
      <c r="H372" s="495"/>
      <c r="I372" s="495"/>
      <c r="J372" s="495"/>
      <c r="K372" s="495"/>
      <c r="L372" s="495"/>
      <c r="M372" s="495"/>
      <c r="N372" s="495"/>
      <c r="O372" s="495"/>
      <c r="P372" s="824"/>
      <c r="Q372" s="824"/>
      <c r="R372" s="824"/>
      <c r="S372" s="824"/>
      <c r="T372" s="824"/>
      <c r="U372" s="824"/>
      <c r="V372" s="824"/>
      <c r="W372" s="824"/>
    </row>
    <row r="373" spans="1:23" hidden="1">
      <c r="B373" s="513"/>
      <c r="C373" s="514"/>
      <c r="D373" s="513"/>
      <c r="E373" s="495"/>
      <c r="F373" s="495"/>
      <c r="G373" s="495"/>
      <c r="H373" s="495"/>
      <c r="I373" s="495"/>
      <c r="J373" s="495"/>
      <c r="K373" s="495"/>
      <c r="L373" s="495"/>
      <c r="M373" s="495"/>
      <c r="N373" s="495"/>
      <c r="O373" s="495"/>
      <c r="P373" s="824"/>
      <c r="Q373" s="824"/>
      <c r="R373" s="824"/>
      <c r="S373" s="824"/>
      <c r="T373" s="824"/>
      <c r="U373" s="824"/>
      <c r="V373" s="824"/>
      <c r="W373" s="824"/>
    </row>
    <row r="374" spans="1:23" hidden="1">
      <c r="B374" s="513"/>
      <c r="C374" s="514"/>
      <c r="D374" s="513"/>
      <c r="E374" s="495"/>
      <c r="F374" s="495"/>
      <c r="G374" s="495"/>
      <c r="H374" s="495"/>
      <c r="I374" s="495"/>
      <c r="J374" s="495"/>
      <c r="K374" s="495"/>
      <c r="L374" s="495"/>
      <c r="M374" s="495"/>
      <c r="N374" s="495"/>
      <c r="O374" s="495"/>
      <c r="P374" s="824"/>
      <c r="Q374" s="824"/>
      <c r="R374" s="824"/>
      <c r="S374" s="824"/>
      <c r="T374" s="824"/>
      <c r="U374" s="824"/>
      <c r="V374" s="824"/>
      <c r="W374" s="824"/>
    </row>
    <row r="375" spans="1:23" hidden="1">
      <c r="B375" s="513"/>
      <c r="C375" s="514"/>
      <c r="D375" s="513"/>
      <c r="E375" s="495"/>
      <c r="F375" s="495"/>
      <c r="G375" s="495"/>
      <c r="H375" s="495"/>
      <c r="I375" s="495"/>
      <c r="J375" s="495"/>
      <c r="K375" s="495"/>
      <c r="L375" s="495"/>
      <c r="M375" s="495"/>
      <c r="N375" s="495"/>
      <c r="O375" s="495"/>
      <c r="P375" s="824"/>
      <c r="Q375" s="824"/>
      <c r="R375" s="824"/>
      <c r="S375" s="824"/>
      <c r="T375" s="824"/>
      <c r="U375" s="824"/>
      <c r="V375" s="824"/>
      <c r="W375" s="824"/>
    </row>
    <row r="376" spans="1:23" hidden="1">
      <c r="B376" s="513"/>
      <c r="C376" s="514"/>
      <c r="D376" s="513"/>
      <c r="E376" s="495"/>
      <c r="F376" s="495"/>
      <c r="G376" s="495"/>
      <c r="H376" s="495"/>
      <c r="I376" s="495"/>
      <c r="J376" s="495"/>
      <c r="K376" s="495"/>
      <c r="L376" s="495"/>
      <c r="M376" s="495"/>
      <c r="N376" s="495"/>
      <c r="O376" s="495"/>
      <c r="P376" s="824"/>
      <c r="Q376" s="824"/>
      <c r="R376" s="824"/>
      <c r="S376" s="824"/>
      <c r="T376" s="824"/>
      <c r="U376" s="824"/>
      <c r="V376" s="824"/>
      <c r="W376" s="824"/>
    </row>
    <row r="377" spans="1:23" hidden="1">
      <c r="B377" s="513"/>
      <c r="C377" s="514"/>
      <c r="D377" s="513"/>
      <c r="E377" s="495"/>
      <c r="F377" s="495"/>
      <c r="G377" s="495"/>
      <c r="H377" s="495"/>
      <c r="I377" s="495"/>
      <c r="J377" s="495"/>
      <c r="K377" s="495"/>
      <c r="L377" s="495"/>
      <c r="M377" s="495"/>
      <c r="N377" s="495"/>
      <c r="O377" s="495"/>
      <c r="P377" s="824"/>
      <c r="Q377" s="824"/>
      <c r="R377" s="824"/>
      <c r="S377" s="824"/>
      <c r="T377" s="824"/>
      <c r="U377" s="824"/>
      <c r="V377" s="824"/>
      <c r="W377" s="824"/>
    </row>
    <row r="378" spans="1:23" hidden="1">
      <c r="A378" s="113"/>
      <c r="B378" s="513"/>
      <c r="C378" s="514"/>
      <c r="D378" s="513"/>
      <c r="E378" s="495"/>
      <c r="F378" s="495"/>
      <c r="G378" s="495"/>
      <c r="H378" s="495"/>
      <c r="I378" s="495"/>
      <c r="J378" s="495"/>
      <c r="K378" s="495"/>
      <c r="L378" s="495"/>
      <c r="M378" s="495"/>
      <c r="N378" s="495"/>
      <c r="O378" s="495"/>
      <c r="P378" s="824"/>
      <c r="Q378" s="824"/>
      <c r="R378" s="824"/>
      <c r="S378" s="824"/>
      <c r="T378" s="824"/>
      <c r="U378" s="824"/>
      <c r="V378" s="824"/>
      <c r="W378" s="824"/>
    </row>
    <row r="379" spans="1:23" ht="24" hidden="1">
      <c r="A379" s="157"/>
      <c r="B379" s="513"/>
      <c r="C379" s="514"/>
      <c r="D379" s="513"/>
      <c r="E379" s="495"/>
      <c r="F379" s="495"/>
      <c r="G379" s="495"/>
      <c r="H379" s="495"/>
      <c r="I379" s="495"/>
      <c r="J379" s="495"/>
      <c r="K379" s="495"/>
      <c r="L379" s="495"/>
      <c r="M379" s="495"/>
      <c r="N379" s="495"/>
      <c r="O379" s="495"/>
      <c r="P379" s="824"/>
      <c r="Q379" s="824"/>
      <c r="R379" s="824"/>
      <c r="S379" s="824"/>
      <c r="T379" s="824"/>
      <c r="U379" s="824"/>
      <c r="V379" s="824"/>
      <c r="W379" s="824"/>
    </row>
    <row r="380" spans="1:23" hidden="1">
      <c r="B380" s="513"/>
      <c r="C380" s="514"/>
      <c r="D380" s="513"/>
      <c r="E380" s="495"/>
      <c r="F380" s="495"/>
      <c r="G380" s="495"/>
      <c r="H380" s="495"/>
      <c r="I380" s="495"/>
      <c r="J380" s="495"/>
      <c r="K380" s="495"/>
      <c r="L380" s="495"/>
      <c r="M380" s="495"/>
      <c r="N380" s="495"/>
      <c r="O380" s="495"/>
      <c r="P380" s="824"/>
      <c r="Q380" s="824"/>
      <c r="R380" s="824"/>
      <c r="S380" s="824"/>
      <c r="T380" s="824"/>
      <c r="U380" s="824"/>
      <c r="V380" s="824"/>
      <c r="W380" s="824"/>
    </row>
    <row r="381" spans="1:23" hidden="1">
      <c r="B381" s="513"/>
      <c r="C381" s="514"/>
      <c r="D381" s="513"/>
      <c r="E381" s="495"/>
      <c r="F381" s="495"/>
      <c r="G381" s="495"/>
      <c r="H381" s="495"/>
      <c r="I381" s="495"/>
      <c r="J381" s="495"/>
      <c r="K381" s="495"/>
      <c r="L381" s="495"/>
      <c r="M381" s="495"/>
      <c r="N381" s="495"/>
      <c r="O381" s="495"/>
      <c r="P381" s="824"/>
      <c r="Q381" s="824"/>
      <c r="R381" s="824"/>
      <c r="S381" s="824"/>
      <c r="T381" s="824"/>
      <c r="U381" s="824"/>
      <c r="V381" s="824"/>
      <c r="W381" s="824"/>
    </row>
    <row r="382" spans="1:23" hidden="1">
      <c r="B382" s="513"/>
      <c r="C382" s="514"/>
      <c r="D382" s="513"/>
      <c r="E382" s="495"/>
      <c r="F382" s="495"/>
      <c r="G382" s="495"/>
      <c r="H382" s="495"/>
      <c r="I382" s="495"/>
      <c r="J382" s="495"/>
      <c r="K382" s="495"/>
      <c r="L382" s="495"/>
      <c r="M382" s="495"/>
      <c r="N382" s="495"/>
      <c r="O382" s="495"/>
      <c r="P382" s="824"/>
      <c r="Q382" s="824"/>
      <c r="R382" s="824"/>
      <c r="S382" s="824"/>
      <c r="T382" s="824"/>
      <c r="U382" s="824"/>
      <c r="V382" s="824"/>
      <c r="W382" s="824"/>
    </row>
    <row r="383" spans="1:23" hidden="1">
      <c r="B383" s="513"/>
      <c r="C383" s="514"/>
      <c r="D383" s="513"/>
      <c r="E383" s="495"/>
      <c r="F383" s="495"/>
      <c r="G383" s="495"/>
      <c r="H383" s="495"/>
      <c r="I383" s="495"/>
      <c r="J383" s="495"/>
      <c r="K383" s="495"/>
      <c r="L383" s="495"/>
      <c r="M383" s="495"/>
      <c r="N383" s="495"/>
      <c r="O383" s="495"/>
      <c r="P383" s="824"/>
      <c r="Q383" s="824"/>
      <c r="R383" s="824"/>
      <c r="S383" s="824"/>
      <c r="T383" s="824"/>
      <c r="U383" s="824"/>
      <c r="V383" s="824"/>
      <c r="W383" s="824"/>
    </row>
    <row r="384" spans="1:23" hidden="1">
      <c r="B384" s="513"/>
      <c r="C384" s="514"/>
      <c r="D384" s="513"/>
      <c r="E384" s="495"/>
      <c r="F384" s="495"/>
      <c r="G384" s="495"/>
      <c r="H384" s="495"/>
      <c r="I384" s="495"/>
      <c r="J384" s="495"/>
      <c r="K384" s="495"/>
      <c r="L384" s="495"/>
      <c r="M384" s="495"/>
      <c r="N384" s="495"/>
      <c r="O384" s="495"/>
      <c r="P384" s="824"/>
      <c r="Q384" s="824"/>
      <c r="R384" s="824"/>
      <c r="S384" s="824"/>
      <c r="T384" s="824"/>
      <c r="U384" s="824"/>
      <c r="V384" s="824"/>
      <c r="W384" s="824"/>
    </row>
    <row r="385" spans="2:23" hidden="1">
      <c r="B385" s="513"/>
      <c r="C385" s="514"/>
      <c r="D385" s="513"/>
      <c r="E385" s="495"/>
      <c r="F385" s="495"/>
      <c r="G385" s="495"/>
      <c r="H385" s="495"/>
      <c r="I385" s="495"/>
      <c r="J385" s="495"/>
      <c r="K385" s="495"/>
      <c r="L385" s="495"/>
      <c r="M385" s="495"/>
      <c r="N385" s="495"/>
      <c r="O385" s="495"/>
      <c r="P385" s="824"/>
      <c r="Q385" s="824"/>
      <c r="R385" s="824"/>
      <c r="S385" s="824"/>
      <c r="T385" s="824"/>
      <c r="U385" s="824"/>
      <c r="V385" s="824"/>
      <c r="W385" s="824"/>
    </row>
    <row r="386" spans="2:23" hidden="1">
      <c r="B386" s="513"/>
      <c r="C386" s="514"/>
      <c r="D386" s="513"/>
      <c r="E386" s="495"/>
      <c r="F386" s="495"/>
      <c r="G386" s="495"/>
      <c r="H386" s="495"/>
      <c r="I386" s="495"/>
      <c r="J386" s="495"/>
      <c r="K386" s="495"/>
      <c r="L386" s="495"/>
      <c r="M386" s="495"/>
      <c r="N386" s="495"/>
      <c r="O386" s="495"/>
      <c r="P386" s="824"/>
      <c r="Q386" s="824"/>
      <c r="R386" s="824"/>
      <c r="S386" s="824"/>
      <c r="T386" s="824"/>
      <c r="U386" s="824"/>
      <c r="V386" s="824"/>
      <c r="W386" s="824"/>
    </row>
    <row r="387" spans="2:23" hidden="1">
      <c r="B387" s="513"/>
      <c r="C387" s="514"/>
      <c r="D387" s="513"/>
      <c r="E387" s="495"/>
      <c r="F387" s="495"/>
      <c r="G387" s="495"/>
      <c r="H387" s="495"/>
      <c r="I387" s="495"/>
      <c r="J387" s="495"/>
      <c r="K387" s="495"/>
      <c r="L387" s="495"/>
      <c r="M387" s="495"/>
      <c r="N387" s="495"/>
      <c r="O387" s="495"/>
      <c r="P387" s="824"/>
      <c r="Q387" s="824"/>
      <c r="R387" s="824"/>
      <c r="S387" s="824"/>
      <c r="T387" s="824"/>
      <c r="U387" s="824"/>
      <c r="V387" s="824"/>
      <c r="W387" s="824"/>
    </row>
    <row r="388" spans="2:23" hidden="1">
      <c r="B388" s="513"/>
      <c r="C388" s="514"/>
      <c r="D388" s="513"/>
      <c r="E388" s="495"/>
      <c r="F388" s="495"/>
      <c r="G388" s="495"/>
      <c r="H388" s="495"/>
      <c r="I388" s="495"/>
      <c r="J388" s="495"/>
      <c r="K388" s="495"/>
      <c r="L388" s="495"/>
      <c r="M388" s="495"/>
      <c r="N388" s="495"/>
      <c r="O388" s="495"/>
      <c r="P388" s="824"/>
      <c r="Q388" s="824"/>
      <c r="R388" s="824"/>
      <c r="S388" s="824"/>
      <c r="T388" s="824"/>
      <c r="U388" s="824"/>
      <c r="V388" s="824"/>
      <c r="W388" s="824"/>
    </row>
    <row r="389" spans="2:23" hidden="1">
      <c r="B389" s="513"/>
      <c r="C389" s="514"/>
      <c r="D389" s="513"/>
      <c r="E389" s="495"/>
      <c r="F389" s="495"/>
      <c r="G389" s="495"/>
      <c r="H389" s="495"/>
      <c r="I389" s="495"/>
      <c r="J389" s="495"/>
      <c r="K389" s="495"/>
      <c r="L389" s="495"/>
      <c r="M389" s="495"/>
      <c r="N389" s="495"/>
      <c r="O389" s="495"/>
      <c r="P389" s="824"/>
      <c r="Q389" s="824"/>
      <c r="R389" s="824"/>
      <c r="S389" s="824"/>
      <c r="T389" s="824"/>
      <c r="U389" s="824"/>
      <c r="V389" s="824"/>
      <c r="W389" s="824"/>
    </row>
    <row r="390" spans="2:23" hidden="1">
      <c r="B390" s="513"/>
      <c r="C390" s="514"/>
      <c r="D390" s="513"/>
      <c r="E390" s="495"/>
      <c r="F390" s="495"/>
      <c r="G390" s="495"/>
      <c r="H390" s="495"/>
      <c r="I390" s="495"/>
      <c r="J390" s="495"/>
      <c r="K390" s="495"/>
      <c r="L390" s="495"/>
      <c r="M390" s="495"/>
      <c r="N390" s="495"/>
      <c r="O390" s="495"/>
      <c r="P390" s="824"/>
      <c r="Q390" s="824"/>
      <c r="R390" s="824"/>
      <c r="S390" s="824"/>
      <c r="T390" s="824"/>
      <c r="U390" s="824"/>
      <c r="V390" s="824"/>
      <c r="W390" s="824"/>
    </row>
    <row r="391" spans="2:23" hidden="1">
      <c r="B391" s="513"/>
      <c r="C391" s="514"/>
      <c r="D391" s="513"/>
      <c r="E391" s="495"/>
      <c r="F391" s="495"/>
      <c r="G391" s="495"/>
      <c r="H391" s="495"/>
      <c r="I391" s="495"/>
      <c r="J391" s="495"/>
      <c r="K391" s="495"/>
      <c r="L391" s="495"/>
      <c r="M391" s="495"/>
      <c r="N391" s="495"/>
      <c r="O391" s="495"/>
      <c r="P391" s="824"/>
      <c r="Q391" s="824"/>
      <c r="R391" s="824"/>
      <c r="S391" s="824"/>
      <c r="T391" s="824"/>
      <c r="U391" s="824"/>
      <c r="V391" s="824"/>
      <c r="W391" s="824"/>
    </row>
    <row r="392" spans="2:23" hidden="1">
      <c r="B392" s="513"/>
      <c r="C392" s="514"/>
      <c r="D392" s="513"/>
      <c r="E392" s="495"/>
      <c r="F392" s="495"/>
      <c r="G392" s="495"/>
      <c r="H392" s="495"/>
      <c r="I392" s="495"/>
      <c r="J392" s="495"/>
      <c r="K392" s="495"/>
      <c r="L392" s="495"/>
      <c r="M392" s="495"/>
      <c r="N392" s="495"/>
      <c r="O392" s="495"/>
      <c r="P392" s="824"/>
      <c r="Q392" s="824"/>
      <c r="R392" s="824"/>
      <c r="S392" s="824"/>
      <c r="T392" s="824"/>
      <c r="U392" s="824"/>
      <c r="V392" s="824"/>
      <c r="W392" s="824"/>
    </row>
    <row r="393" spans="2:23" hidden="1">
      <c r="B393" s="513"/>
      <c r="C393" s="514"/>
      <c r="D393" s="513"/>
      <c r="E393" s="495"/>
      <c r="F393" s="495"/>
      <c r="G393" s="495"/>
      <c r="H393" s="495"/>
      <c r="I393" s="495"/>
      <c r="J393" s="495"/>
      <c r="K393" s="495"/>
      <c r="L393" s="495"/>
      <c r="M393" s="495"/>
      <c r="N393" s="495"/>
      <c r="O393" s="495"/>
      <c r="P393" s="824"/>
      <c r="Q393" s="824"/>
      <c r="R393" s="824"/>
      <c r="S393" s="824"/>
      <c r="T393" s="824"/>
      <c r="U393" s="824"/>
      <c r="V393" s="824"/>
      <c r="W393" s="824"/>
    </row>
    <row r="394" spans="2:23" hidden="1">
      <c r="B394" s="513"/>
      <c r="C394" s="514"/>
      <c r="D394" s="513"/>
      <c r="E394" s="495"/>
      <c r="F394" s="495"/>
      <c r="G394" s="495"/>
      <c r="H394" s="495"/>
      <c r="I394" s="495"/>
      <c r="J394" s="495"/>
      <c r="K394" s="495"/>
      <c r="L394" s="495"/>
      <c r="M394" s="495"/>
      <c r="N394" s="495"/>
      <c r="O394" s="495"/>
      <c r="P394" s="824"/>
      <c r="Q394" s="824"/>
      <c r="R394" s="824"/>
      <c r="S394" s="824"/>
      <c r="T394" s="824"/>
      <c r="U394" s="824"/>
      <c r="V394" s="824"/>
      <c r="W394" s="824"/>
    </row>
    <row r="395" spans="2:23" hidden="1">
      <c r="B395" s="513"/>
      <c r="C395" s="514"/>
      <c r="D395" s="513"/>
      <c r="E395" s="495"/>
      <c r="F395" s="495"/>
      <c r="G395" s="495"/>
      <c r="H395" s="495"/>
      <c r="I395" s="495"/>
      <c r="J395" s="495"/>
      <c r="K395" s="495"/>
      <c r="L395" s="495"/>
      <c r="M395" s="495"/>
      <c r="N395" s="495"/>
      <c r="O395" s="495"/>
      <c r="P395" s="824"/>
      <c r="Q395" s="824"/>
      <c r="R395" s="824"/>
      <c r="S395" s="824"/>
      <c r="T395" s="824"/>
      <c r="U395" s="824"/>
      <c r="V395" s="824"/>
      <c r="W395" s="824"/>
    </row>
    <row r="396" spans="2:23" hidden="1">
      <c r="B396" s="513"/>
      <c r="C396" s="514"/>
      <c r="D396" s="513"/>
      <c r="E396" s="495"/>
      <c r="F396" s="495"/>
      <c r="G396" s="495"/>
      <c r="H396" s="495"/>
      <c r="I396" s="495"/>
      <c r="J396" s="495"/>
      <c r="K396" s="495"/>
      <c r="L396" s="495"/>
      <c r="M396" s="495"/>
      <c r="N396" s="495"/>
      <c r="O396" s="495"/>
      <c r="P396" s="824"/>
      <c r="Q396" s="824"/>
      <c r="R396" s="824"/>
      <c r="S396" s="824"/>
      <c r="T396" s="824"/>
      <c r="U396" s="824"/>
      <c r="V396" s="824"/>
      <c r="W396" s="824"/>
    </row>
    <row r="397" spans="2:23" hidden="1">
      <c r="B397" s="513"/>
      <c r="C397" s="514"/>
      <c r="D397" s="513"/>
      <c r="E397" s="495"/>
      <c r="F397" s="495"/>
      <c r="G397" s="495"/>
      <c r="H397" s="495"/>
      <c r="I397" s="495"/>
      <c r="J397" s="495"/>
      <c r="K397" s="495"/>
      <c r="L397" s="495"/>
      <c r="M397" s="495"/>
      <c r="N397" s="495"/>
      <c r="O397" s="495"/>
      <c r="P397" s="824"/>
      <c r="Q397" s="824"/>
      <c r="R397" s="824"/>
      <c r="S397" s="824"/>
      <c r="T397" s="824"/>
      <c r="U397" s="824"/>
      <c r="V397" s="824"/>
      <c r="W397" s="824"/>
    </row>
    <row r="398" spans="2:23" hidden="1">
      <c r="B398" s="513"/>
      <c r="C398" s="514"/>
      <c r="D398" s="513"/>
      <c r="E398" s="495"/>
      <c r="F398" s="495"/>
      <c r="G398" s="495"/>
      <c r="H398" s="495"/>
      <c r="I398" s="495"/>
      <c r="J398" s="495"/>
      <c r="K398" s="495"/>
      <c r="L398" s="495"/>
      <c r="M398" s="495"/>
      <c r="N398" s="495"/>
      <c r="O398" s="495"/>
      <c r="P398" s="824"/>
      <c r="Q398" s="824"/>
      <c r="R398" s="824"/>
      <c r="S398" s="824"/>
      <c r="T398" s="824"/>
      <c r="U398" s="824"/>
      <c r="V398" s="824"/>
      <c r="W398" s="824"/>
    </row>
    <row r="399" spans="2:23" hidden="1">
      <c r="B399" s="513"/>
      <c r="C399" s="514"/>
      <c r="D399" s="513"/>
      <c r="E399" s="495"/>
      <c r="F399" s="495"/>
      <c r="G399" s="495"/>
      <c r="H399" s="495"/>
      <c r="I399" s="495"/>
      <c r="J399" s="495"/>
      <c r="K399" s="495"/>
      <c r="L399" s="495"/>
      <c r="M399" s="495"/>
      <c r="N399" s="495"/>
      <c r="O399" s="495"/>
      <c r="P399" s="824"/>
      <c r="Q399" s="824"/>
      <c r="R399" s="824"/>
      <c r="S399" s="824"/>
      <c r="T399" s="824"/>
      <c r="U399" s="824"/>
      <c r="V399" s="824"/>
      <c r="W399" s="824"/>
    </row>
    <row r="400" spans="2:23" hidden="1">
      <c r="B400" s="513"/>
      <c r="C400" s="514"/>
      <c r="D400" s="513"/>
      <c r="E400" s="495"/>
      <c r="F400" s="495"/>
      <c r="G400" s="495"/>
      <c r="H400" s="495"/>
      <c r="I400" s="495"/>
      <c r="J400" s="495"/>
      <c r="K400" s="495"/>
      <c r="L400" s="495"/>
      <c r="M400" s="495"/>
      <c r="N400" s="495"/>
      <c r="O400" s="495"/>
      <c r="P400" s="824"/>
      <c r="Q400" s="824"/>
      <c r="R400" s="824"/>
      <c r="S400" s="824"/>
      <c r="T400" s="824"/>
      <c r="U400" s="824"/>
      <c r="V400" s="824"/>
      <c r="W400" s="824"/>
    </row>
    <row r="401" spans="2:23" hidden="1">
      <c r="B401" s="513"/>
      <c r="C401" s="514"/>
      <c r="D401" s="513"/>
      <c r="E401" s="495"/>
      <c r="F401" s="495"/>
      <c r="G401" s="495"/>
      <c r="H401" s="495"/>
      <c r="I401" s="495"/>
      <c r="J401" s="495"/>
      <c r="K401" s="495"/>
      <c r="L401" s="495"/>
      <c r="M401" s="495"/>
      <c r="N401" s="495"/>
      <c r="O401" s="495"/>
      <c r="P401" s="824"/>
      <c r="Q401" s="824"/>
      <c r="R401" s="824"/>
      <c r="S401" s="824"/>
      <c r="T401" s="824"/>
      <c r="U401" s="824"/>
      <c r="V401" s="824"/>
      <c r="W401" s="824"/>
    </row>
    <row r="402" spans="2:23" hidden="1">
      <c r="B402" s="513"/>
      <c r="C402" s="514"/>
      <c r="D402" s="513"/>
      <c r="E402" s="495"/>
      <c r="F402" s="495"/>
      <c r="G402" s="495"/>
      <c r="H402" s="495"/>
      <c r="I402" s="495"/>
      <c r="J402" s="495"/>
      <c r="K402" s="495"/>
      <c r="L402" s="495"/>
      <c r="M402" s="495"/>
      <c r="N402" s="495"/>
      <c r="O402" s="495"/>
      <c r="P402" s="824"/>
      <c r="Q402" s="824"/>
      <c r="R402" s="824"/>
      <c r="S402" s="824"/>
      <c r="T402" s="824"/>
      <c r="U402" s="824"/>
      <c r="V402" s="824"/>
      <c r="W402" s="824"/>
    </row>
    <row r="403" spans="2:23" hidden="1">
      <c r="B403" s="513"/>
      <c r="C403" s="514"/>
      <c r="D403" s="513"/>
      <c r="E403" s="495"/>
      <c r="F403" s="495"/>
      <c r="G403" s="495"/>
      <c r="H403" s="495"/>
      <c r="I403" s="495"/>
      <c r="J403" s="495"/>
      <c r="K403" s="495"/>
      <c r="L403" s="495"/>
      <c r="M403" s="495"/>
      <c r="N403" s="495"/>
      <c r="O403" s="495"/>
      <c r="P403" s="824"/>
      <c r="Q403" s="824"/>
      <c r="R403" s="824"/>
      <c r="S403" s="824"/>
      <c r="T403" s="824"/>
      <c r="U403" s="824"/>
      <c r="V403" s="824"/>
      <c r="W403" s="824"/>
    </row>
    <row r="404" spans="2:23" hidden="1">
      <c r="B404" s="513"/>
      <c r="C404" s="514"/>
      <c r="D404" s="513"/>
      <c r="E404" s="495"/>
      <c r="F404" s="495"/>
      <c r="G404" s="495"/>
      <c r="H404" s="495"/>
      <c r="I404" s="495"/>
      <c r="J404" s="495"/>
      <c r="K404" s="495"/>
      <c r="L404" s="495"/>
      <c r="M404" s="495"/>
      <c r="N404" s="495"/>
      <c r="O404" s="495"/>
      <c r="P404" s="824"/>
      <c r="Q404" s="824"/>
      <c r="R404" s="824"/>
      <c r="S404" s="824"/>
      <c r="T404" s="824"/>
      <c r="U404" s="824"/>
      <c r="V404" s="824"/>
      <c r="W404" s="824"/>
    </row>
    <row r="405" spans="2:23" hidden="1">
      <c r="B405" s="513"/>
      <c r="C405" s="514"/>
      <c r="D405" s="513"/>
      <c r="E405" s="495"/>
      <c r="F405" s="495"/>
      <c r="G405" s="495"/>
      <c r="H405" s="495"/>
      <c r="I405" s="495"/>
      <c r="J405" s="495"/>
      <c r="K405" s="495"/>
      <c r="L405" s="495"/>
      <c r="M405" s="495"/>
      <c r="N405" s="495"/>
      <c r="O405" s="495"/>
      <c r="P405" s="824"/>
      <c r="Q405" s="824"/>
      <c r="R405" s="824"/>
      <c r="S405" s="824"/>
      <c r="T405" s="824"/>
      <c r="U405" s="824"/>
      <c r="V405" s="824"/>
      <c r="W405" s="824"/>
    </row>
    <row r="406" spans="2:23" hidden="1">
      <c r="B406" s="513"/>
      <c r="C406" s="514"/>
      <c r="D406" s="513"/>
      <c r="E406" s="495"/>
      <c r="F406" s="495"/>
      <c r="G406" s="495"/>
      <c r="H406" s="495"/>
      <c r="I406" s="495"/>
      <c r="J406" s="495"/>
      <c r="K406" s="495"/>
      <c r="L406" s="495"/>
      <c r="M406" s="495"/>
      <c r="N406" s="495"/>
      <c r="O406" s="495"/>
      <c r="P406" s="824"/>
      <c r="Q406" s="824"/>
      <c r="R406" s="824"/>
      <c r="S406" s="824"/>
      <c r="T406" s="824"/>
      <c r="U406" s="824"/>
      <c r="V406" s="824"/>
      <c r="W406" s="824"/>
    </row>
    <row r="407" spans="2:23" hidden="1">
      <c r="B407" s="513"/>
      <c r="C407" s="514"/>
      <c r="D407" s="513"/>
      <c r="E407" s="495"/>
      <c r="F407" s="495"/>
      <c r="G407" s="495"/>
      <c r="H407" s="495"/>
      <c r="I407" s="495"/>
      <c r="J407" s="495"/>
      <c r="K407" s="495"/>
      <c r="L407" s="495"/>
      <c r="M407" s="495"/>
      <c r="N407" s="495"/>
      <c r="O407" s="495"/>
      <c r="P407" s="824"/>
      <c r="Q407" s="824"/>
      <c r="R407" s="824"/>
      <c r="S407" s="824"/>
      <c r="T407" s="824"/>
      <c r="U407" s="824"/>
      <c r="V407" s="824"/>
      <c r="W407" s="824"/>
    </row>
    <row r="408" spans="2:23" hidden="1">
      <c r="B408" s="513"/>
      <c r="C408" s="514"/>
      <c r="D408" s="513"/>
      <c r="E408" s="495"/>
      <c r="F408" s="495"/>
      <c r="G408" s="495"/>
      <c r="H408" s="495"/>
      <c r="I408" s="495"/>
      <c r="J408" s="495"/>
      <c r="K408" s="495"/>
      <c r="L408" s="495"/>
      <c r="M408" s="495"/>
      <c r="N408" s="495"/>
      <c r="O408" s="495"/>
      <c r="P408" s="824"/>
      <c r="Q408" s="824"/>
      <c r="R408" s="824"/>
      <c r="S408" s="824"/>
      <c r="T408" s="824"/>
      <c r="U408" s="824"/>
      <c r="V408" s="824"/>
      <c r="W408" s="824"/>
    </row>
    <row r="409" spans="2:23" hidden="1">
      <c r="B409" s="513"/>
      <c r="C409" s="514"/>
      <c r="D409" s="513"/>
      <c r="E409" s="495"/>
      <c r="F409" s="495"/>
      <c r="G409" s="495"/>
      <c r="H409" s="495"/>
      <c r="I409" s="495"/>
      <c r="J409" s="495"/>
      <c r="K409" s="495"/>
      <c r="L409" s="495"/>
      <c r="M409" s="495"/>
      <c r="N409" s="495"/>
      <c r="O409" s="495"/>
      <c r="P409" s="824"/>
      <c r="Q409" s="824"/>
      <c r="R409" s="824"/>
      <c r="S409" s="824"/>
      <c r="T409" s="824"/>
      <c r="U409" s="824"/>
      <c r="V409" s="824"/>
      <c r="W409" s="824"/>
    </row>
    <row r="410" spans="2:23" hidden="1">
      <c r="B410" s="513"/>
      <c r="C410" s="514"/>
      <c r="D410" s="513"/>
      <c r="E410" s="495"/>
      <c r="F410" s="495"/>
      <c r="G410" s="495"/>
      <c r="H410" s="495"/>
      <c r="I410" s="495"/>
      <c r="J410" s="495"/>
      <c r="K410" s="495"/>
      <c r="L410" s="495"/>
      <c r="M410" s="495"/>
      <c r="N410" s="495"/>
      <c r="O410" s="495"/>
      <c r="P410" s="824"/>
      <c r="Q410" s="824"/>
      <c r="R410" s="824"/>
      <c r="S410" s="824"/>
      <c r="T410" s="824"/>
      <c r="U410" s="824"/>
      <c r="V410" s="824"/>
      <c r="W410" s="824"/>
    </row>
    <row r="411" spans="2:23" hidden="1">
      <c r="B411" s="513"/>
      <c r="C411" s="514"/>
      <c r="D411" s="513"/>
      <c r="E411" s="495"/>
      <c r="F411" s="495"/>
      <c r="G411" s="495"/>
      <c r="H411" s="495"/>
      <c r="I411" s="495"/>
      <c r="J411" s="495"/>
      <c r="K411" s="495"/>
      <c r="L411" s="495"/>
      <c r="M411" s="495"/>
      <c r="N411" s="495"/>
      <c r="O411" s="495"/>
      <c r="P411" s="824"/>
      <c r="Q411" s="824"/>
      <c r="R411" s="824"/>
      <c r="S411" s="824"/>
      <c r="T411" s="824"/>
      <c r="U411" s="824"/>
      <c r="V411" s="824"/>
      <c r="W411" s="824"/>
    </row>
    <row r="412" spans="2:23" hidden="1">
      <c r="B412" s="513"/>
      <c r="C412" s="514"/>
      <c r="D412" s="513"/>
      <c r="E412" s="495"/>
      <c r="F412" s="495"/>
      <c r="G412" s="495"/>
      <c r="H412" s="495"/>
      <c r="I412" s="495"/>
      <c r="J412" s="495"/>
      <c r="K412" s="495"/>
      <c r="L412" s="495"/>
      <c r="M412" s="495"/>
      <c r="N412" s="495"/>
      <c r="O412" s="495"/>
      <c r="P412" s="824"/>
      <c r="Q412" s="824"/>
      <c r="R412" s="824"/>
      <c r="S412" s="824"/>
      <c r="T412" s="824"/>
      <c r="U412" s="824"/>
      <c r="V412" s="824"/>
      <c r="W412" s="824"/>
    </row>
    <row r="413" spans="2:23" hidden="1">
      <c r="B413" s="513"/>
      <c r="C413" s="514"/>
      <c r="D413" s="513"/>
      <c r="E413" s="495"/>
      <c r="F413" s="495"/>
      <c r="G413" s="495"/>
      <c r="H413" s="495"/>
      <c r="I413" s="495"/>
      <c r="J413" s="495"/>
      <c r="K413" s="495"/>
      <c r="L413" s="495"/>
      <c r="M413" s="495"/>
      <c r="N413" s="495"/>
      <c r="O413" s="495"/>
      <c r="P413" s="824"/>
      <c r="Q413" s="824"/>
      <c r="R413" s="824"/>
      <c r="S413" s="824"/>
      <c r="T413" s="824"/>
      <c r="U413" s="824"/>
      <c r="V413" s="824"/>
      <c r="W413" s="824"/>
    </row>
    <row r="414" spans="2:23" hidden="1">
      <c r="B414" s="513"/>
      <c r="C414" s="514"/>
      <c r="D414" s="513"/>
      <c r="E414" s="495"/>
      <c r="F414" s="495"/>
      <c r="G414" s="495"/>
      <c r="H414" s="495"/>
      <c r="I414" s="495"/>
      <c r="J414" s="495"/>
      <c r="K414" s="495"/>
      <c r="L414" s="495"/>
      <c r="M414" s="495"/>
      <c r="N414" s="495"/>
      <c r="O414" s="495"/>
      <c r="P414" s="824"/>
      <c r="Q414" s="824"/>
      <c r="R414" s="824"/>
      <c r="S414" s="824"/>
      <c r="T414" s="824"/>
      <c r="U414" s="824"/>
      <c r="V414" s="824"/>
      <c r="W414" s="824"/>
    </row>
    <row r="415" spans="2:23" hidden="1">
      <c r="B415" s="513"/>
      <c r="C415" s="514"/>
      <c r="D415" s="513"/>
      <c r="E415" s="495"/>
      <c r="F415" s="495"/>
      <c r="G415" s="495"/>
      <c r="H415" s="495"/>
      <c r="I415" s="495"/>
      <c r="J415" s="495"/>
      <c r="K415" s="495"/>
      <c r="L415" s="495"/>
      <c r="M415" s="495"/>
      <c r="N415" s="495"/>
      <c r="O415" s="495"/>
      <c r="P415" s="824"/>
      <c r="Q415" s="824"/>
      <c r="R415" s="824"/>
      <c r="S415" s="824"/>
      <c r="T415" s="824"/>
      <c r="U415" s="824"/>
      <c r="V415" s="824"/>
      <c r="W415" s="824"/>
    </row>
    <row r="416" spans="2:23" hidden="1">
      <c r="B416" s="513"/>
      <c r="C416" s="514"/>
      <c r="D416" s="513"/>
      <c r="E416" s="495"/>
      <c r="F416" s="495"/>
      <c r="G416" s="495"/>
      <c r="H416" s="495"/>
      <c r="I416" s="495"/>
      <c r="J416" s="495"/>
      <c r="K416" s="495"/>
      <c r="L416" s="495"/>
      <c r="M416" s="495"/>
      <c r="N416" s="495"/>
      <c r="O416" s="495"/>
      <c r="P416" s="824"/>
      <c r="Q416" s="824"/>
      <c r="R416" s="824"/>
      <c r="S416" s="824"/>
      <c r="T416" s="824"/>
      <c r="U416" s="824"/>
      <c r="V416" s="824"/>
      <c r="W416" s="824"/>
    </row>
    <row r="417" spans="2:23" hidden="1">
      <c r="B417" s="513"/>
      <c r="C417" s="514"/>
      <c r="D417" s="513"/>
      <c r="E417" s="495"/>
      <c r="F417" s="495"/>
      <c r="G417" s="495"/>
      <c r="H417" s="495"/>
      <c r="I417" s="495"/>
      <c r="J417" s="495"/>
      <c r="K417" s="495"/>
      <c r="L417" s="495"/>
      <c r="M417" s="495"/>
      <c r="N417" s="495"/>
      <c r="O417" s="495"/>
      <c r="P417" s="824"/>
      <c r="Q417" s="824"/>
      <c r="R417" s="824"/>
      <c r="S417" s="824"/>
      <c r="T417" s="824"/>
      <c r="U417" s="824"/>
      <c r="V417" s="824"/>
      <c r="W417" s="824"/>
    </row>
    <row r="418" spans="2:23" hidden="1">
      <c r="B418" s="513"/>
      <c r="C418" s="514"/>
      <c r="D418" s="513"/>
      <c r="E418" s="495"/>
      <c r="F418" s="495"/>
      <c r="G418" s="495"/>
      <c r="H418" s="495"/>
      <c r="I418" s="495"/>
      <c r="J418" s="495"/>
      <c r="K418" s="495"/>
      <c r="L418" s="495"/>
      <c r="M418" s="495"/>
      <c r="N418" s="495"/>
      <c r="O418" s="495"/>
      <c r="P418" s="824"/>
      <c r="Q418" s="824"/>
      <c r="R418" s="824"/>
      <c r="S418" s="824"/>
      <c r="T418" s="824"/>
      <c r="U418" s="824"/>
      <c r="V418" s="824"/>
      <c r="W418" s="824"/>
    </row>
    <row r="419" spans="2:23" hidden="1">
      <c r="B419" s="513"/>
      <c r="C419" s="514"/>
      <c r="D419" s="513"/>
      <c r="E419" s="495"/>
      <c r="F419" s="495"/>
      <c r="G419" s="495"/>
      <c r="H419" s="495"/>
      <c r="I419" s="495"/>
      <c r="J419" s="495"/>
      <c r="K419" s="495"/>
      <c r="L419" s="495"/>
      <c r="M419" s="495"/>
      <c r="N419" s="495"/>
      <c r="O419" s="495"/>
      <c r="P419" s="824"/>
      <c r="Q419" s="824"/>
      <c r="R419" s="824"/>
      <c r="S419" s="824"/>
      <c r="T419" s="824"/>
      <c r="U419" s="824"/>
      <c r="V419" s="824"/>
      <c r="W419" s="824"/>
    </row>
    <row r="420" spans="2:23" hidden="1">
      <c r="B420" s="513"/>
      <c r="C420" s="514"/>
      <c r="D420" s="513"/>
      <c r="E420" s="495"/>
      <c r="F420" s="495"/>
      <c r="G420" s="495"/>
      <c r="H420" s="495"/>
      <c r="I420" s="495"/>
      <c r="J420" s="495"/>
      <c r="K420" s="495"/>
      <c r="L420" s="495"/>
      <c r="M420" s="495"/>
      <c r="N420" s="495"/>
      <c r="O420" s="495"/>
      <c r="P420" s="824"/>
      <c r="Q420" s="824"/>
      <c r="R420" s="824"/>
      <c r="S420" s="824"/>
      <c r="T420" s="824"/>
      <c r="U420" s="824"/>
      <c r="V420" s="824"/>
      <c r="W420" s="824"/>
    </row>
    <row r="421" spans="2:23" hidden="1">
      <c r="B421" s="513"/>
      <c r="C421" s="514"/>
      <c r="D421" s="513"/>
      <c r="E421" s="495"/>
      <c r="F421" s="495"/>
      <c r="G421" s="495"/>
      <c r="H421" s="495"/>
      <c r="I421" s="495"/>
      <c r="J421" s="495"/>
      <c r="K421" s="495"/>
      <c r="L421" s="495"/>
      <c r="M421" s="495"/>
      <c r="N421" s="495"/>
      <c r="O421" s="495"/>
      <c r="P421" s="824"/>
      <c r="Q421" s="824"/>
      <c r="R421" s="824"/>
      <c r="S421" s="824"/>
      <c r="T421" s="824"/>
      <c r="U421" s="824"/>
      <c r="V421" s="824"/>
      <c r="W421" s="824"/>
    </row>
    <row r="422" spans="2:23" hidden="1">
      <c r="B422" s="513"/>
      <c r="C422" s="514"/>
      <c r="D422" s="513"/>
      <c r="E422" s="495"/>
      <c r="F422" s="495"/>
      <c r="G422" s="495"/>
      <c r="H422" s="495"/>
      <c r="I422" s="495"/>
      <c r="J422" s="495"/>
      <c r="K422" s="495"/>
      <c r="L422" s="495"/>
      <c r="M422" s="495"/>
      <c r="N422" s="495"/>
      <c r="O422" s="495"/>
      <c r="P422" s="824"/>
      <c r="Q422" s="824"/>
      <c r="R422" s="824"/>
      <c r="S422" s="824"/>
      <c r="T422" s="824"/>
      <c r="U422" s="824"/>
      <c r="V422" s="824"/>
      <c r="W422" s="824"/>
    </row>
    <row r="423" spans="2:23" hidden="1">
      <c r="B423" s="513"/>
      <c r="C423" s="514"/>
      <c r="D423" s="513"/>
      <c r="E423" s="495"/>
      <c r="F423" s="495"/>
      <c r="G423" s="495"/>
      <c r="H423" s="495"/>
      <c r="I423" s="495"/>
      <c r="J423" s="495"/>
      <c r="K423" s="495"/>
      <c r="L423" s="495"/>
      <c r="M423" s="495"/>
      <c r="N423" s="495"/>
      <c r="O423" s="495"/>
      <c r="P423" s="824"/>
      <c r="Q423" s="824"/>
      <c r="R423" s="824"/>
      <c r="S423" s="824"/>
      <c r="T423" s="824"/>
      <c r="U423" s="824"/>
      <c r="V423" s="824"/>
      <c r="W423" s="824"/>
    </row>
    <row r="424" spans="2:23" hidden="1">
      <c r="B424" s="513"/>
      <c r="C424" s="514"/>
      <c r="D424" s="513"/>
      <c r="E424" s="495"/>
      <c r="F424" s="495"/>
      <c r="G424" s="495"/>
      <c r="H424" s="495"/>
      <c r="I424" s="495"/>
      <c r="J424" s="495"/>
      <c r="K424" s="495"/>
      <c r="L424" s="495"/>
      <c r="M424" s="495"/>
      <c r="N424" s="495"/>
      <c r="O424" s="495"/>
      <c r="P424" s="824"/>
      <c r="Q424" s="824"/>
      <c r="R424" s="824"/>
      <c r="S424" s="824"/>
      <c r="T424" s="824"/>
      <c r="U424" s="824"/>
      <c r="V424" s="824"/>
      <c r="W424" s="824"/>
    </row>
    <row r="425" spans="2:23" hidden="1">
      <c r="B425" s="513"/>
      <c r="C425" s="514"/>
      <c r="D425" s="513"/>
      <c r="E425" s="495"/>
      <c r="F425" s="495"/>
      <c r="G425" s="495"/>
      <c r="H425" s="495"/>
      <c r="I425" s="495"/>
      <c r="J425" s="495"/>
      <c r="K425" s="495"/>
      <c r="L425" s="495"/>
      <c r="M425" s="495"/>
      <c r="N425" s="495"/>
      <c r="O425" s="495"/>
      <c r="P425" s="824"/>
      <c r="Q425" s="824"/>
      <c r="R425" s="824"/>
      <c r="S425" s="824"/>
      <c r="T425" s="824"/>
      <c r="U425" s="824"/>
      <c r="V425" s="824"/>
      <c r="W425" s="824"/>
    </row>
    <row r="426" spans="2:23" hidden="1">
      <c r="B426" s="515"/>
      <c r="C426" s="516"/>
      <c r="D426" s="515"/>
      <c r="E426" s="824"/>
      <c r="F426" s="824"/>
      <c r="G426" s="824"/>
      <c r="H426" s="824"/>
      <c r="I426" s="824"/>
      <c r="J426" s="824"/>
      <c r="K426" s="824"/>
      <c r="L426" s="824"/>
      <c r="M426" s="824"/>
      <c r="N426" s="824"/>
      <c r="O426" s="824"/>
      <c r="P426" s="824"/>
      <c r="Q426" s="824"/>
      <c r="R426" s="824"/>
      <c r="S426" s="824"/>
      <c r="T426" s="824"/>
      <c r="U426" s="824"/>
      <c r="V426" s="824"/>
      <c r="W426" s="824"/>
    </row>
    <row r="427" spans="2:23" hidden="1">
      <c r="B427" s="515"/>
      <c r="C427" s="516"/>
      <c r="D427" s="515"/>
      <c r="E427" s="824"/>
      <c r="F427" s="824"/>
      <c r="G427" s="824"/>
      <c r="H427" s="824"/>
      <c r="I427" s="824"/>
      <c r="J427" s="824"/>
      <c r="K427" s="824"/>
      <c r="L427" s="824"/>
      <c r="M427" s="824"/>
      <c r="N427" s="824"/>
      <c r="O427" s="824"/>
      <c r="P427" s="824"/>
      <c r="Q427" s="824"/>
      <c r="R427" s="824"/>
      <c r="S427" s="824"/>
      <c r="T427" s="824"/>
      <c r="U427" s="824"/>
      <c r="V427" s="824"/>
      <c r="W427" s="824"/>
    </row>
    <row r="428" spans="2:23" hidden="1">
      <c r="B428" s="515"/>
      <c r="C428" s="516"/>
      <c r="D428" s="515"/>
      <c r="E428" s="824"/>
      <c r="F428" s="824"/>
      <c r="G428" s="824"/>
      <c r="H428" s="824"/>
      <c r="I428" s="824"/>
      <c r="J428" s="824"/>
      <c r="K428" s="824"/>
      <c r="L428" s="824"/>
      <c r="M428" s="824"/>
      <c r="N428" s="824"/>
      <c r="O428" s="824"/>
      <c r="P428" s="824"/>
      <c r="Q428" s="824"/>
      <c r="R428" s="824"/>
      <c r="S428" s="824"/>
      <c r="T428" s="824"/>
      <c r="U428" s="824"/>
      <c r="V428" s="824"/>
      <c r="W428" s="824"/>
    </row>
    <row r="429" spans="2:23" hidden="1">
      <c r="B429" s="515"/>
      <c r="C429" s="516"/>
      <c r="D429" s="515"/>
      <c r="E429" s="824"/>
      <c r="F429" s="824"/>
      <c r="G429" s="824"/>
      <c r="H429" s="824"/>
      <c r="I429" s="824"/>
      <c r="J429" s="824"/>
      <c r="K429" s="824"/>
      <c r="L429" s="824"/>
      <c r="M429" s="824"/>
      <c r="N429" s="824"/>
      <c r="O429" s="824"/>
      <c r="P429" s="824"/>
      <c r="Q429" s="824"/>
      <c r="R429" s="824"/>
      <c r="S429" s="824"/>
      <c r="T429" s="824"/>
      <c r="U429" s="824"/>
      <c r="V429" s="824"/>
      <c r="W429" s="824"/>
    </row>
    <row r="430" spans="2:23" hidden="1">
      <c r="B430" s="515"/>
      <c r="C430" s="516"/>
      <c r="D430" s="515"/>
      <c r="E430" s="824"/>
      <c r="F430" s="824"/>
      <c r="G430" s="824"/>
      <c r="H430" s="824"/>
      <c r="I430" s="824"/>
      <c r="J430" s="824"/>
      <c r="K430" s="824"/>
      <c r="L430" s="824"/>
      <c r="M430" s="824"/>
      <c r="N430" s="824"/>
      <c r="O430" s="824"/>
      <c r="P430" s="824"/>
      <c r="Q430" s="824"/>
      <c r="R430" s="824"/>
      <c r="S430" s="824"/>
      <c r="T430" s="824"/>
      <c r="U430" s="824"/>
      <c r="V430" s="824"/>
      <c r="W430" s="824"/>
    </row>
    <row r="431" spans="2:23" hidden="1">
      <c r="B431" s="515"/>
      <c r="C431" s="516"/>
      <c r="D431" s="515"/>
      <c r="E431" s="824"/>
      <c r="F431" s="824"/>
      <c r="G431" s="824"/>
      <c r="H431" s="824"/>
      <c r="I431" s="824"/>
      <c r="J431" s="824"/>
      <c r="K431" s="824"/>
      <c r="L431" s="824"/>
      <c r="M431" s="824"/>
      <c r="N431" s="824"/>
      <c r="O431" s="824"/>
      <c r="P431" s="824"/>
      <c r="Q431" s="824"/>
      <c r="R431" s="824"/>
      <c r="S431" s="824"/>
      <c r="T431" s="824"/>
      <c r="U431" s="824"/>
      <c r="V431" s="824"/>
      <c r="W431" s="824"/>
    </row>
    <row r="432" spans="2:23" hidden="1">
      <c r="B432" s="515"/>
      <c r="C432" s="516"/>
      <c r="D432" s="515"/>
      <c r="E432" s="824"/>
      <c r="F432" s="824"/>
      <c r="G432" s="824"/>
      <c r="H432" s="824"/>
      <c r="I432" s="824"/>
      <c r="J432" s="824"/>
      <c r="K432" s="824"/>
      <c r="L432" s="824"/>
      <c r="M432" s="824"/>
      <c r="N432" s="824"/>
      <c r="O432" s="824"/>
      <c r="P432" s="824"/>
      <c r="Q432" s="824"/>
      <c r="R432" s="824"/>
      <c r="S432" s="824"/>
      <c r="T432" s="824"/>
      <c r="U432" s="824"/>
      <c r="V432" s="824"/>
      <c r="W432" s="824"/>
    </row>
    <row r="433" spans="2:23" hidden="1">
      <c r="B433" s="515"/>
      <c r="C433" s="516"/>
      <c r="D433" s="515"/>
      <c r="E433" s="824"/>
      <c r="F433" s="824"/>
      <c r="G433" s="824"/>
      <c r="H433" s="824"/>
      <c r="I433" s="824"/>
      <c r="J433" s="824"/>
      <c r="K433" s="824"/>
      <c r="L433" s="824"/>
      <c r="M433" s="824"/>
      <c r="N433" s="824"/>
      <c r="O433" s="824"/>
      <c r="P433" s="824"/>
      <c r="Q433" s="824"/>
      <c r="R433" s="824"/>
      <c r="S433" s="824"/>
      <c r="T433" s="824"/>
      <c r="U433" s="824"/>
      <c r="V433" s="824"/>
      <c r="W433" s="824"/>
    </row>
    <row r="434" spans="2:23" hidden="1">
      <c r="B434" s="515"/>
      <c r="C434" s="516"/>
      <c r="D434" s="515"/>
      <c r="E434" s="824"/>
      <c r="F434" s="824"/>
      <c r="G434" s="824"/>
      <c r="H434" s="824"/>
      <c r="I434" s="824"/>
      <c r="J434" s="824"/>
      <c r="K434" s="824"/>
      <c r="L434" s="824"/>
      <c r="M434" s="824"/>
      <c r="N434" s="824"/>
      <c r="O434" s="824"/>
      <c r="P434" s="824"/>
      <c r="Q434" s="824"/>
      <c r="R434" s="824"/>
      <c r="S434" s="824"/>
      <c r="T434" s="824"/>
      <c r="U434" s="824"/>
      <c r="V434" s="824"/>
      <c r="W434" s="824"/>
    </row>
    <row r="435" spans="2:23" hidden="1">
      <c r="B435" s="515"/>
      <c r="C435" s="516"/>
      <c r="D435" s="515"/>
      <c r="E435" s="824"/>
      <c r="F435" s="824"/>
      <c r="G435" s="824"/>
      <c r="H435" s="824"/>
      <c r="I435" s="824"/>
      <c r="J435" s="824"/>
      <c r="K435" s="824"/>
      <c r="L435" s="824"/>
      <c r="M435" s="824"/>
      <c r="N435" s="824"/>
      <c r="O435" s="824"/>
      <c r="P435" s="824"/>
      <c r="Q435" s="824"/>
      <c r="R435" s="824"/>
      <c r="S435" s="824"/>
      <c r="T435" s="824"/>
      <c r="U435" s="824"/>
      <c r="V435" s="824"/>
      <c r="W435" s="824"/>
    </row>
    <row r="436" spans="2:23" hidden="1">
      <c r="B436" s="515"/>
      <c r="C436" s="516"/>
      <c r="D436" s="515"/>
      <c r="E436" s="824"/>
      <c r="F436" s="824"/>
      <c r="G436" s="824"/>
      <c r="H436" s="824"/>
      <c r="I436" s="824"/>
      <c r="J436" s="824"/>
      <c r="K436" s="824"/>
      <c r="L436" s="824"/>
      <c r="M436" s="824"/>
      <c r="N436" s="824"/>
      <c r="O436" s="824"/>
      <c r="P436" s="824"/>
      <c r="Q436" s="824"/>
      <c r="R436" s="824"/>
      <c r="S436" s="824"/>
      <c r="T436" s="824"/>
      <c r="U436" s="824"/>
      <c r="V436" s="824"/>
      <c r="W436" s="824"/>
    </row>
    <row r="437" spans="2:23" hidden="1">
      <c r="B437" s="515"/>
      <c r="C437" s="516"/>
      <c r="D437" s="515"/>
      <c r="E437" s="824"/>
      <c r="F437" s="824"/>
      <c r="G437" s="824"/>
      <c r="H437" s="824"/>
      <c r="I437" s="824"/>
      <c r="J437" s="824"/>
      <c r="K437" s="824"/>
      <c r="L437" s="824"/>
      <c r="M437" s="824"/>
      <c r="N437" s="824"/>
      <c r="O437" s="824"/>
      <c r="P437" s="824"/>
      <c r="Q437" s="824"/>
      <c r="R437" s="824"/>
      <c r="S437" s="824"/>
      <c r="T437" s="824"/>
      <c r="U437" s="824"/>
      <c r="V437" s="824"/>
      <c r="W437" s="824"/>
    </row>
    <row r="438" spans="2:23" hidden="1">
      <c r="B438" s="515"/>
      <c r="C438" s="516"/>
      <c r="D438" s="515"/>
      <c r="E438" s="824"/>
      <c r="F438" s="824"/>
      <c r="G438" s="824"/>
      <c r="H438" s="824"/>
      <c r="I438" s="824"/>
      <c r="J438" s="824"/>
      <c r="K438" s="824"/>
      <c r="L438" s="824"/>
      <c r="M438" s="824"/>
      <c r="N438" s="824"/>
      <c r="O438" s="824"/>
      <c r="P438" s="824"/>
      <c r="Q438" s="824"/>
      <c r="R438" s="824"/>
      <c r="S438" s="824"/>
      <c r="T438" s="824"/>
      <c r="U438" s="824"/>
      <c r="V438" s="824"/>
      <c r="W438" s="824"/>
    </row>
    <row r="439" spans="2:23" hidden="1">
      <c r="B439" s="515"/>
      <c r="C439" s="516"/>
      <c r="D439" s="515"/>
      <c r="E439" s="824"/>
      <c r="F439" s="824"/>
      <c r="G439" s="824"/>
      <c r="H439" s="824"/>
      <c r="I439" s="824"/>
      <c r="J439" s="824"/>
      <c r="K439" s="824"/>
      <c r="L439" s="824"/>
      <c r="M439" s="824"/>
      <c r="N439" s="824"/>
      <c r="O439" s="824"/>
      <c r="P439" s="824"/>
      <c r="Q439" s="824"/>
      <c r="R439" s="824"/>
      <c r="S439" s="824"/>
      <c r="T439" s="824"/>
      <c r="U439" s="824"/>
      <c r="V439" s="824"/>
      <c r="W439" s="824"/>
    </row>
    <row r="440" spans="2:23" hidden="1">
      <c r="B440" s="515"/>
      <c r="C440" s="516"/>
      <c r="D440" s="515"/>
      <c r="E440" s="824"/>
      <c r="F440" s="824"/>
      <c r="G440" s="824"/>
      <c r="H440" s="824"/>
      <c r="I440" s="824"/>
      <c r="J440" s="824"/>
      <c r="K440" s="824"/>
      <c r="L440" s="824"/>
      <c r="M440" s="824"/>
      <c r="N440" s="824"/>
      <c r="O440" s="824"/>
      <c r="P440" s="824"/>
      <c r="Q440" s="824"/>
      <c r="R440" s="824"/>
      <c r="S440" s="824"/>
      <c r="T440" s="824"/>
      <c r="U440" s="824"/>
      <c r="V440" s="824"/>
      <c r="W440" s="824"/>
    </row>
    <row r="441" spans="2:23" hidden="1">
      <c r="B441" s="515"/>
      <c r="C441" s="516"/>
      <c r="D441" s="515"/>
      <c r="E441" s="824"/>
      <c r="F441" s="824"/>
      <c r="G441" s="824"/>
      <c r="H441" s="824"/>
      <c r="I441" s="824"/>
      <c r="J441" s="824"/>
      <c r="K441" s="824"/>
      <c r="L441" s="824"/>
      <c r="M441" s="824"/>
      <c r="N441" s="824"/>
      <c r="O441" s="824"/>
      <c r="P441" s="824"/>
      <c r="Q441" s="824"/>
      <c r="R441" s="824"/>
      <c r="S441" s="824"/>
      <c r="T441" s="824"/>
      <c r="U441" s="824"/>
      <c r="V441" s="824"/>
      <c r="W441" s="824"/>
    </row>
    <row r="442" spans="2:23" hidden="1">
      <c r="B442" s="515"/>
      <c r="C442" s="516"/>
      <c r="D442" s="515"/>
      <c r="E442" s="824"/>
      <c r="F442" s="824"/>
      <c r="G442" s="824"/>
      <c r="H442" s="824"/>
      <c r="I442" s="824"/>
      <c r="J442" s="824"/>
      <c r="K442" s="824"/>
      <c r="L442" s="824"/>
      <c r="M442" s="824"/>
      <c r="N442" s="824"/>
      <c r="O442" s="824"/>
      <c r="P442" s="824"/>
      <c r="Q442" s="824"/>
      <c r="R442" s="824"/>
      <c r="S442" s="824"/>
      <c r="T442" s="824"/>
      <c r="U442" s="824"/>
      <c r="V442" s="824"/>
      <c r="W442" s="824"/>
    </row>
    <row r="443" spans="2:23" hidden="1">
      <c r="B443" s="515"/>
      <c r="C443" s="516"/>
      <c r="D443" s="515"/>
      <c r="E443" s="824"/>
      <c r="F443" s="824"/>
      <c r="G443" s="824"/>
      <c r="H443" s="824"/>
      <c r="I443" s="824"/>
      <c r="J443" s="824"/>
      <c r="K443" s="824"/>
      <c r="L443" s="824"/>
      <c r="M443" s="824"/>
      <c r="N443" s="824"/>
      <c r="O443" s="824"/>
      <c r="P443" s="824"/>
      <c r="Q443" s="824"/>
      <c r="R443" s="824"/>
      <c r="S443" s="824"/>
      <c r="T443" s="824"/>
      <c r="U443" s="824"/>
      <c r="V443" s="824"/>
      <c r="W443" s="824"/>
    </row>
    <row r="444" spans="2:23" hidden="1">
      <c r="B444" s="515"/>
      <c r="C444" s="516"/>
      <c r="D444" s="515"/>
      <c r="E444" s="824"/>
      <c r="F444" s="824"/>
      <c r="G444" s="824"/>
      <c r="H444" s="824"/>
      <c r="I444" s="824"/>
      <c r="J444" s="824"/>
      <c r="K444" s="824"/>
      <c r="L444" s="824"/>
      <c r="M444" s="824"/>
      <c r="N444" s="824"/>
      <c r="O444" s="824"/>
      <c r="P444" s="824"/>
      <c r="Q444" s="824"/>
      <c r="R444" s="824"/>
      <c r="S444" s="824"/>
      <c r="T444" s="824"/>
      <c r="U444" s="824"/>
      <c r="V444" s="824"/>
      <c r="W444" s="824"/>
    </row>
    <row r="445" spans="2:23" hidden="1">
      <c r="B445" s="515"/>
      <c r="C445" s="516"/>
      <c r="D445" s="515"/>
      <c r="E445" s="824"/>
      <c r="F445" s="824"/>
      <c r="G445" s="824"/>
      <c r="H445" s="824"/>
      <c r="I445" s="824"/>
      <c r="J445" s="824"/>
      <c r="K445" s="824"/>
      <c r="L445" s="824"/>
      <c r="M445" s="824"/>
      <c r="N445" s="824"/>
      <c r="O445" s="824"/>
      <c r="P445" s="824"/>
      <c r="Q445" s="824"/>
      <c r="R445" s="824"/>
      <c r="S445" s="824"/>
      <c r="T445" s="824"/>
      <c r="U445" s="824"/>
      <c r="V445" s="824"/>
      <c r="W445" s="824"/>
    </row>
    <row r="446" spans="2:23" hidden="1">
      <c r="B446" s="515"/>
      <c r="C446" s="516"/>
      <c r="D446" s="515"/>
      <c r="E446" s="824"/>
      <c r="F446" s="824"/>
      <c r="G446" s="824"/>
      <c r="H446" s="824"/>
      <c r="I446" s="824"/>
      <c r="J446" s="824"/>
      <c r="K446" s="824"/>
      <c r="L446" s="824"/>
      <c r="M446" s="824"/>
      <c r="N446" s="824"/>
      <c r="O446" s="824"/>
      <c r="P446" s="824"/>
      <c r="Q446" s="824"/>
      <c r="R446" s="824"/>
      <c r="S446" s="824"/>
      <c r="T446" s="824"/>
      <c r="U446" s="824"/>
      <c r="V446" s="824"/>
      <c r="W446" s="824"/>
    </row>
    <row r="447" spans="2:23" hidden="1">
      <c r="B447" s="515"/>
      <c r="C447" s="516"/>
      <c r="D447" s="515"/>
      <c r="E447" s="824"/>
      <c r="F447" s="824"/>
      <c r="G447" s="824"/>
      <c r="H447" s="824"/>
      <c r="I447" s="824"/>
      <c r="J447" s="824"/>
      <c r="K447" s="824"/>
      <c r="L447" s="824"/>
      <c r="M447" s="824"/>
      <c r="N447" s="824"/>
      <c r="O447" s="824"/>
      <c r="P447" s="824"/>
      <c r="Q447" s="824"/>
      <c r="R447" s="824"/>
      <c r="S447" s="824"/>
      <c r="T447" s="824"/>
      <c r="U447" s="824"/>
      <c r="V447" s="824"/>
      <c r="W447" s="824"/>
    </row>
    <row r="448" spans="2:23" hidden="1">
      <c r="B448" s="515"/>
      <c r="C448" s="516"/>
      <c r="D448" s="515"/>
      <c r="E448" s="824"/>
      <c r="F448" s="824"/>
      <c r="G448" s="824"/>
      <c r="H448" s="824"/>
      <c r="I448" s="824"/>
      <c r="J448" s="824"/>
      <c r="K448" s="824"/>
      <c r="L448" s="824"/>
      <c r="M448" s="824"/>
      <c r="N448" s="824"/>
      <c r="O448" s="824"/>
      <c r="P448" s="824"/>
      <c r="Q448" s="824"/>
      <c r="R448" s="824"/>
      <c r="S448" s="824"/>
      <c r="T448" s="824"/>
      <c r="U448" s="824"/>
      <c r="V448" s="824"/>
      <c r="W448" s="824"/>
    </row>
    <row r="449" spans="2:23" hidden="1">
      <c r="B449" s="515"/>
      <c r="C449" s="516"/>
      <c r="D449" s="515"/>
      <c r="E449" s="824"/>
      <c r="F449" s="824"/>
      <c r="G449" s="824"/>
      <c r="H449" s="824"/>
      <c r="I449" s="824"/>
      <c r="J449" s="824"/>
      <c r="K449" s="824"/>
      <c r="L449" s="824"/>
      <c r="M449" s="824"/>
      <c r="N449" s="824"/>
      <c r="O449" s="824"/>
      <c r="P449" s="824"/>
      <c r="Q449" s="824"/>
      <c r="R449" s="824"/>
      <c r="S449" s="824"/>
      <c r="T449" s="824"/>
      <c r="U449" s="824"/>
      <c r="V449" s="824"/>
      <c r="W449" s="824"/>
    </row>
    <row r="450" spans="2:23" hidden="1">
      <c r="B450" s="515"/>
      <c r="C450" s="516"/>
      <c r="D450" s="515"/>
      <c r="E450" s="824"/>
      <c r="F450" s="824"/>
      <c r="G450" s="824"/>
      <c r="H450" s="824"/>
      <c r="I450" s="824"/>
      <c r="J450" s="824"/>
      <c r="K450" s="824"/>
      <c r="L450" s="824"/>
      <c r="M450" s="824"/>
      <c r="N450" s="824"/>
      <c r="O450" s="824"/>
      <c r="P450" s="824"/>
      <c r="Q450" s="824"/>
      <c r="R450" s="824"/>
      <c r="S450" s="824"/>
      <c r="T450" s="824"/>
      <c r="U450" s="824"/>
      <c r="V450" s="824"/>
      <c r="W450" s="824"/>
    </row>
    <row r="451" spans="2:23" hidden="1">
      <c r="B451" s="515"/>
      <c r="C451" s="516"/>
      <c r="D451" s="515"/>
      <c r="E451" s="824"/>
      <c r="F451" s="824"/>
      <c r="G451" s="824"/>
      <c r="H451" s="824"/>
      <c r="I451" s="824"/>
      <c r="J451" s="824"/>
      <c r="K451" s="824"/>
      <c r="L451" s="824"/>
      <c r="M451" s="824"/>
      <c r="N451" s="824"/>
      <c r="O451" s="824"/>
      <c r="P451" s="824"/>
      <c r="Q451" s="824"/>
      <c r="R451" s="824"/>
      <c r="S451" s="824"/>
      <c r="T451" s="824"/>
      <c r="U451" s="824"/>
      <c r="V451" s="824"/>
      <c r="W451" s="824"/>
    </row>
    <row r="452" spans="2:23" hidden="1">
      <c r="B452" s="515"/>
      <c r="C452" s="516"/>
      <c r="D452" s="515"/>
      <c r="E452" s="824"/>
      <c r="F452" s="824"/>
      <c r="G452" s="824"/>
      <c r="H452" s="824"/>
      <c r="I452" s="824"/>
      <c r="J452" s="824"/>
      <c r="K452" s="824"/>
      <c r="L452" s="824"/>
      <c r="M452" s="824"/>
      <c r="N452" s="824"/>
      <c r="O452" s="824"/>
      <c r="P452" s="824"/>
      <c r="Q452" s="824"/>
      <c r="R452" s="824"/>
      <c r="S452" s="824"/>
      <c r="T452" s="824"/>
      <c r="U452" s="824"/>
      <c r="V452" s="824"/>
      <c r="W452" s="824"/>
    </row>
    <row r="453" spans="2:23" hidden="1">
      <c r="B453" s="515"/>
      <c r="C453" s="516"/>
      <c r="D453" s="515"/>
      <c r="E453" s="824"/>
      <c r="F453" s="824"/>
      <c r="G453" s="824"/>
      <c r="H453" s="824"/>
      <c r="I453" s="824"/>
      <c r="J453" s="824"/>
      <c r="K453" s="824"/>
      <c r="L453" s="824"/>
      <c r="M453" s="824"/>
      <c r="N453" s="824"/>
      <c r="O453" s="824"/>
      <c r="P453" s="824"/>
      <c r="Q453" s="824"/>
      <c r="R453" s="824"/>
      <c r="S453" s="824"/>
      <c r="T453" s="824"/>
      <c r="U453" s="824"/>
      <c r="V453" s="824"/>
      <c r="W453" s="824"/>
    </row>
    <row r="454" spans="2:23" hidden="1">
      <c r="B454" s="515"/>
      <c r="C454" s="516"/>
      <c r="D454" s="515"/>
      <c r="E454" s="824"/>
      <c r="F454" s="824"/>
      <c r="G454" s="824"/>
      <c r="H454" s="824"/>
      <c r="I454" s="824"/>
      <c r="J454" s="824"/>
      <c r="K454" s="824"/>
      <c r="L454" s="824"/>
      <c r="M454" s="824"/>
      <c r="N454" s="824"/>
      <c r="O454" s="824"/>
      <c r="P454" s="824"/>
      <c r="Q454" s="824"/>
      <c r="R454" s="824"/>
      <c r="S454" s="824"/>
      <c r="T454" s="824"/>
      <c r="U454" s="824"/>
      <c r="V454" s="824"/>
      <c r="W454" s="824"/>
    </row>
    <row r="455" spans="2:23" hidden="1">
      <c r="B455" s="515"/>
      <c r="C455" s="516"/>
      <c r="D455" s="515"/>
      <c r="E455" s="824"/>
      <c r="F455" s="824"/>
      <c r="G455" s="824"/>
      <c r="H455" s="824"/>
      <c r="I455" s="824"/>
      <c r="J455" s="824"/>
      <c r="K455" s="824"/>
      <c r="L455" s="824"/>
      <c r="M455" s="824"/>
      <c r="N455" s="824"/>
      <c r="O455" s="824"/>
      <c r="P455" s="824"/>
      <c r="Q455" s="824"/>
      <c r="R455" s="824"/>
      <c r="S455" s="824"/>
      <c r="T455" s="824"/>
      <c r="U455" s="824"/>
      <c r="V455" s="824"/>
      <c r="W455" s="824"/>
    </row>
    <row r="456" spans="2:23" hidden="1">
      <c r="B456" s="515"/>
      <c r="C456" s="516"/>
      <c r="D456" s="515"/>
      <c r="E456" s="824"/>
      <c r="F456" s="824"/>
      <c r="G456" s="824"/>
      <c r="H456" s="824"/>
      <c r="I456" s="824"/>
      <c r="J456" s="824"/>
      <c r="K456" s="824"/>
      <c r="L456" s="824"/>
      <c r="M456" s="824"/>
      <c r="N456" s="824"/>
      <c r="O456" s="824"/>
      <c r="P456" s="824"/>
      <c r="Q456" s="824"/>
      <c r="R456" s="824"/>
      <c r="S456" s="824"/>
      <c r="T456" s="824"/>
      <c r="U456" s="824"/>
      <c r="V456" s="824"/>
      <c r="W456" s="824"/>
    </row>
    <row r="457" spans="2:23" hidden="1">
      <c r="B457" s="515"/>
      <c r="C457" s="516"/>
      <c r="D457" s="515"/>
      <c r="E457" s="824"/>
      <c r="F457" s="824"/>
      <c r="G457" s="824"/>
      <c r="H457" s="824"/>
      <c r="I457" s="824"/>
      <c r="J457" s="824"/>
      <c r="K457" s="824"/>
      <c r="L457" s="824"/>
      <c r="M457" s="824"/>
      <c r="N457" s="824"/>
      <c r="O457" s="824"/>
      <c r="P457" s="824"/>
      <c r="Q457" s="824"/>
      <c r="R457" s="824"/>
      <c r="S457" s="824"/>
      <c r="T457" s="824"/>
      <c r="U457" s="824"/>
      <c r="V457" s="824"/>
      <c r="W457" s="824"/>
    </row>
    <row r="458" spans="2:23" hidden="1">
      <c r="B458" s="515"/>
      <c r="C458" s="516"/>
      <c r="D458" s="515"/>
      <c r="E458" s="824"/>
      <c r="F458" s="824"/>
      <c r="G458" s="824"/>
      <c r="H458" s="824"/>
      <c r="I458" s="824"/>
      <c r="J458" s="824"/>
      <c r="K458" s="824"/>
      <c r="L458" s="824"/>
      <c r="M458" s="824"/>
      <c r="N458" s="824"/>
      <c r="O458" s="824"/>
      <c r="P458" s="824"/>
      <c r="Q458" s="824"/>
      <c r="R458" s="824"/>
      <c r="S458" s="824"/>
      <c r="T458" s="824"/>
      <c r="U458" s="824"/>
      <c r="V458" s="824"/>
      <c r="W458" s="824"/>
    </row>
    <row r="459" spans="2:23" hidden="1">
      <c r="B459" s="515"/>
      <c r="C459" s="516"/>
      <c r="D459" s="515"/>
      <c r="E459" s="824"/>
      <c r="F459" s="824"/>
      <c r="G459" s="824"/>
      <c r="H459" s="824"/>
      <c r="I459" s="824"/>
      <c r="J459" s="824"/>
      <c r="K459" s="824"/>
      <c r="L459" s="824"/>
      <c r="M459" s="824"/>
      <c r="N459" s="824"/>
      <c r="O459" s="824"/>
      <c r="P459" s="824"/>
      <c r="Q459" s="824"/>
      <c r="R459" s="824"/>
      <c r="S459" s="824"/>
      <c r="T459" s="824"/>
      <c r="U459" s="824"/>
      <c r="V459" s="824"/>
      <c r="W459" s="824"/>
    </row>
    <row r="460" spans="2:23" hidden="1">
      <c r="B460" s="515"/>
      <c r="C460" s="516"/>
      <c r="D460" s="515"/>
      <c r="E460" s="824"/>
      <c r="F460" s="824"/>
      <c r="G460" s="824"/>
      <c r="H460" s="824"/>
      <c r="I460" s="824"/>
      <c r="J460" s="824"/>
      <c r="K460" s="824"/>
      <c r="L460" s="824"/>
      <c r="M460" s="824"/>
      <c r="N460" s="824"/>
      <c r="O460" s="824"/>
      <c r="P460" s="824"/>
      <c r="Q460" s="824"/>
      <c r="R460" s="824"/>
      <c r="S460" s="824"/>
      <c r="T460" s="824"/>
      <c r="U460" s="824"/>
      <c r="V460" s="824"/>
      <c r="W460" s="824"/>
    </row>
    <row r="461" spans="2:23" hidden="1">
      <c r="B461" s="515"/>
      <c r="C461" s="516"/>
      <c r="D461" s="515"/>
      <c r="E461" s="824"/>
      <c r="F461" s="824"/>
      <c r="G461" s="824"/>
      <c r="H461" s="824"/>
      <c r="I461" s="824"/>
      <c r="J461" s="824"/>
      <c r="K461" s="824"/>
      <c r="L461" s="824"/>
      <c r="M461" s="824"/>
      <c r="N461" s="824"/>
      <c r="O461" s="824"/>
      <c r="P461" s="824"/>
      <c r="Q461" s="824"/>
      <c r="R461" s="824"/>
      <c r="S461" s="824"/>
      <c r="T461" s="824"/>
      <c r="U461" s="824"/>
      <c r="V461" s="824"/>
      <c r="W461" s="824"/>
    </row>
    <row r="462" spans="2:23" hidden="1">
      <c r="B462" s="515"/>
      <c r="C462" s="516"/>
      <c r="D462" s="515"/>
      <c r="E462" s="824"/>
      <c r="F462" s="824"/>
      <c r="G462" s="824"/>
      <c r="H462" s="824"/>
      <c r="I462" s="824"/>
      <c r="J462" s="824"/>
      <c r="K462" s="824"/>
      <c r="L462" s="824"/>
      <c r="M462" s="824"/>
      <c r="N462" s="824"/>
      <c r="O462" s="824"/>
      <c r="P462" s="824"/>
      <c r="Q462" s="824"/>
      <c r="R462" s="824"/>
      <c r="S462" s="824"/>
      <c r="T462" s="824"/>
      <c r="U462" s="824"/>
      <c r="V462" s="824"/>
      <c r="W462" s="824"/>
    </row>
    <row r="463" spans="2:23" hidden="1">
      <c r="B463" s="515"/>
      <c r="C463" s="516"/>
      <c r="D463" s="515"/>
      <c r="E463" s="824"/>
      <c r="F463" s="824"/>
      <c r="G463" s="824"/>
      <c r="H463" s="824"/>
      <c r="I463" s="824"/>
      <c r="J463" s="824"/>
      <c r="K463" s="824"/>
      <c r="L463" s="824"/>
      <c r="M463" s="824"/>
      <c r="N463" s="824"/>
      <c r="O463" s="824"/>
      <c r="P463" s="824"/>
      <c r="Q463" s="824"/>
      <c r="R463" s="824"/>
      <c r="S463" s="824"/>
      <c r="T463" s="824"/>
      <c r="U463" s="824"/>
      <c r="V463" s="824"/>
      <c r="W463" s="824"/>
    </row>
    <row r="464" spans="2:23" hidden="1">
      <c r="B464" s="515"/>
      <c r="C464" s="516"/>
      <c r="D464" s="515"/>
      <c r="E464" s="824"/>
      <c r="F464" s="824"/>
      <c r="G464" s="824"/>
      <c r="H464" s="824"/>
      <c r="I464" s="824"/>
      <c r="J464" s="824"/>
      <c r="K464" s="824"/>
      <c r="L464" s="824"/>
      <c r="M464" s="824"/>
      <c r="N464" s="824"/>
      <c r="O464" s="824"/>
      <c r="P464" s="824"/>
      <c r="Q464" s="824"/>
      <c r="R464" s="824"/>
      <c r="S464" s="824"/>
      <c r="T464" s="824"/>
      <c r="U464" s="824"/>
      <c r="V464" s="824"/>
      <c r="W464" s="824"/>
    </row>
    <row r="465" spans="2:23" hidden="1">
      <c r="B465" s="515"/>
      <c r="C465" s="516"/>
      <c r="D465" s="515"/>
      <c r="E465" s="824"/>
      <c r="F465" s="824"/>
      <c r="G465" s="824"/>
      <c r="H465" s="824"/>
      <c r="I465" s="824"/>
      <c r="J465" s="824"/>
      <c r="K465" s="824"/>
      <c r="L465" s="824"/>
      <c r="M465" s="824"/>
      <c r="N465" s="824"/>
      <c r="O465" s="824"/>
      <c r="P465" s="824"/>
      <c r="Q465" s="824"/>
      <c r="R465" s="824"/>
      <c r="S465" s="824"/>
      <c r="T465" s="824"/>
      <c r="U465" s="824"/>
      <c r="V465" s="824"/>
      <c r="W465" s="824"/>
    </row>
    <row r="466" spans="2:23" hidden="1">
      <c r="B466" s="515"/>
      <c r="C466" s="516"/>
      <c r="D466" s="515"/>
      <c r="E466" s="824"/>
      <c r="F466" s="824"/>
      <c r="G466" s="824"/>
      <c r="H466" s="824"/>
      <c r="I466" s="824"/>
      <c r="J466" s="824"/>
      <c r="K466" s="824"/>
      <c r="L466" s="824"/>
      <c r="M466" s="824"/>
      <c r="N466" s="824"/>
      <c r="O466" s="824"/>
      <c r="P466" s="824"/>
      <c r="Q466" s="824"/>
      <c r="R466" s="824"/>
      <c r="S466" s="824"/>
      <c r="T466" s="824"/>
      <c r="U466" s="824"/>
      <c r="V466" s="824"/>
      <c r="W466" s="824"/>
    </row>
    <row r="467" spans="2:23" hidden="1">
      <c r="B467" s="515"/>
      <c r="C467" s="516"/>
      <c r="D467" s="515"/>
      <c r="E467" s="824"/>
      <c r="F467" s="824"/>
      <c r="G467" s="824"/>
      <c r="H467" s="824"/>
      <c r="I467" s="824"/>
      <c r="J467" s="824"/>
      <c r="K467" s="824"/>
      <c r="L467" s="824"/>
      <c r="M467" s="824"/>
      <c r="N467" s="824"/>
      <c r="O467" s="824"/>
      <c r="P467" s="824"/>
      <c r="Q467" s="824"/>
      <c r="R467" s="824"/>
      <c r="S467" s="824"/>
      <c r="T467" s="824"/>
      <c r="U467" s="824"/>
      <c r="V467" s="824"/>
      <c r="W467" s="824"/>
    </row>
    <row r="468" spans="2:23" hidden="1">
      <c r="B468" s="515"/>
      <c r="C468" s="516"/>
      <c r="D468" s="515"/>
      <c r="E468" s="824"/>
      <c r="F468" s="824"/>
      <c r="G468" s="824"/>
      <c r="H468" s="824"/>
      <c r="I468" s="824"/>
      <c r="J468" s="824"/>
      <c r="K468" s="824"/>
      <c r="L468" s="824"/>
      <c r="M468" s="824"/>
      <c r="N468" s="824"/>
      <c r="O468" s="824"/>
      <c r="P468" s="824"/>
      <c r="Q468" s="824"/>
      <c r="R468" s="824"/>
      <c r="S468" s="824"/>
      <c r="T468" s="824"/>
      <c r="U468" s="824"/>
      <c r="V468" s="824"/>
      <c r="W468" s="824"/>
    </row>
    <row r="469" spans="2:23" hidden="1">
      <c r="B469" s="515"/>
      <c r="C469" s="516"/>
      <c r="D469" s="515"/>
      <c r="E469" s="824"/>
      <c r="F469" s="824"/>
      <c r="G469" s="824"/>
      <c r="H469" s="824"/>
      <c r="I469" s="824"/>
      <c r="J469" s="824"/>
      <c r="K469" s="824"/>
      <c r="L469" s="824"/>
      <c r="M469" s="824"/>
      <c r="N469" s="824"/>
      <c r="O469" s="824"/>
      <c r="P469" s="824"/>
      <c r="Q469" s="824"/>
      <c r="R469" s="824"/>
      <c r="S469" s="824"/>
      <c r="T469" s="824"/>
      <c r="U469" s="824"/>
      <c r="V469" s="824"/>
      <c r="W469" s="824"/>
    </row>
    <row r="470" spans="2:23" hidden="1">
      <c r="B470" s="515"/>
      <c r="C470" s="516"/>
      <c r="D470" s="515"/>
      <c r="E470" s="824"/>
      <c r="F470" s="824"/>
      <c r="G470" s="824"/>
      <c r="H470" s="824"/>
      <c r="I470" s="824"/>
      <c r="J470" s="824"/>
      <c r="K470" s="824"/>
      <c r="L470" s="824"/>
      <c r="M470" s="824"/>
      <c r="N470" s="824"/>
      <c r="O470" s="824"/>
      <c r="P470" s="824"/>
      <c r="Q470" s="824"/>
      <c r="R470" s="824"/>
      <c r="S470" s="824"/>
      <c r="T470" s="824"/>
      <c r="U470" s="824"/>
      <c r="V470" s="824"/>
      <c r="W470" s="824"/>
    </row>
    <row r="471" spans="2:23" hidden="1">
      <c r="B471" s="515"/>
      <c r="C471" s="516"/>
      <c r="D471" s="515"/>
      <c r="E471" s="824"/>
      <c r="F471" s="824"/>
      <c r="G471" s="824"/>
      <c r="H471" s="824"/>
      <c r="I471" s="824"/>
      <c r="J471" s="824"/>
      <c r="K471" s="824"/>
      <c r="L471" s="824"/>
      <c r="M471" s="824"/>
      <c r="N471" s="824"/>
      <c r="O471" s="824"/>
      <c r="P471" s="824"/>
      <c r="Q471" s="824"/>
      <c r="R471" s="824"/>
      <c r="S471" s="824"/>
      <c r="T471" s="824"/>
      <c r="U471" s="824"/>
      <c r="V471" s="824"/>
      <c r="W471" s="824"/>
    </row>
    <row r="472" spans="2:23" hidden="1">
      <c r="B472" s="515"/>
      <c r="C472" s="516"/>
      <c r="D472" s="515"/>
      <c r="E472" s="824"/>
      <c r="F472" s="824"/>
      <c r="G472" s="824"/>
      <c r="H472" s="824"/>
      <c r="I472" s="824"/>
      <c r="J472" s="824"/>
      <c r="K472" s="824"/>
      <c r="L472" s="824"/>
      <c r="M472" s="824"/>
      <c r="N472" s="824"/>
      <c r="O472" s="824"/>
      <c r="P472" s="824"/>
      <c r="Q472" s="824"/>
      <c r="R472" s="824"/>
      <c r="S472" s="824"/>
      <c r="T472" s="824"/>
      <c r="U472" s="824"/>
      <c r="V472" s="824"/>
      <c r="W472" s="824"/>
    </row>
    <row r="473" spans="2:23" hidden="1">
      <c r="B473" s="515"/>
      <c r="C473" s="516"/>
      <c r="D473" s="515"/>
      <c r="E473" s="824"/>
      <c r="F473" s="824"/>
      <c r="G473" s="824"/>
      <c r="H473" s="824"/>
      <c r="I473" s="824"/>
      <c r="J473" s="824"/>
      <c r="K473" s="824"/>
      <c r="L473" s="824"/>
      <c r="M473" s="824"/>
      <c r="N473" s="824"/>
      <c r="O473" s="824"/>
      <c r="P473" s="824"/>
      <c r="Q473" s="824"/>
      <c r="R473" s="824"/>
      <c r="S473" s="824"/>
      <c r="T473" s="824"/>
      <c r="U473" s="824"/>
      <c r="V473" s="824"/>
      <c r="W473" s="824"/>
    </row>
    <row r="474" spans="2:23" hidden="1">
      <c r="B474" s="515"/>
      <c r="C474" s="516"/>
      <c r="D474" s="515"/>
      <c r="E474" s="824"/>
      <c r="F474" s="824"/>
      <c r="G474" s="824"/>
      <c r="H474" s="824"/>
      <c r="I474" s="824"/>
      <c r="J474" s="824"/>
      <c r="K474" s="824"/>
      <c r="L474" s="824"/>
      <c r="M474" s="824"/>
      <c r="N474" s="824"/>
      <c r="O474" s="824"/>
      <c r="P474" s="824"/>
      <c r="Q474" s="824"/>
      <c r="R474" s="824"/>
      <c r="S474" s="824"/>
      <c r="T474" s="824"/>
      <c r="U474" s="824"/>
      <c r="V474" s="824"/>
      <c r="W474" s="824"/>
    </row>
    <row r="475" spans="2:23" hidden="1">
      <c r="B475" s="515"/>
      <c r="C475" s="516"/>
      <c r="D475" s="515"/>
      <c r="E475" s="824"/>
      <c r="F475" s="824"/>
      <c r="G475" s="824"/>
      <c r="H475" s="824"/>
      <c r="I475" s="824"/>
      <c r="J475" s="824"/>
      <c r="K475" s="824"/>
      <c r="L475" s="824"/>
      <c r="M475" s="824"/>
      <c r="N475" s="824"/>
      <c r="O475" s="824"/>
      <c r="P475" s="824"/>
      <c r="Q475" s="824"/>
      <c r="R475" s="824"/>
      <c r="S475" s="824"/>
      <c r="T475" s="824"/>
      <c r="U475" s="824"/>
      <c r="V475" s="824"/>
      <c r="W475" s="824"/>
    </row>
    <row r="476" spans="2:23" hidden="1">
      <c r="B476" s="515"/>
      <c r="C476" s="516"/>
      <c r="D476" s="515"/>
      <c r="E476" s="824"/>
      <c r="F476" s="824"/>
      <c r="G476" s="824"/>
      <c r="H476" s="824"/>
      <c r="I476" s="824"/>
      <c r="J476" s="824"/>
      <c r="K476" s="824"/>
      <c r="L476" s="824"/>
      <c r="M476" s="824"/>
      <c r="N476" s="824"/>
      <c r="O476" s="824"/>
      <c r="P476" s="824"/>
      <c r="Q476" s="824"/>
      <c r="R476" s="824"/>
      <c r="S476" s="824"/>
      <c r="T476" s="824"/>
      <c r="U476" s="824"/>
      <c r="V476" s="824"/>
      <c r="W476" s="824"/>
    </row>
    <row r="477" spans="2:23" hidden="1">
      <c r="B477" s="515"/>
      <c r="C477" s="516"/>
      <c r="D477" s="515"/>
      <c r="E477" s="824"/>
      <c r="F477" s="824"/>
      <c r="G477" s="824"/>
      <c r="H477" s="824"/>
      <c r="I477" s="824"/>
      <c r="J477" s="824"/>
      <c r="K477" s="824"/>
      <c r="L477" s="824"/>
      <c r="M477" s="824"/>
      <c r="N477" s="824"/>
      <c r="O477" s="824"/>
      <c r="P477" s="824"/>
      <c r="Q477" s="824"/>
      <c r="R477" s="824"/>
      <c r="S477" s="824"/>
      <c r="T477" s="824"/>
      <c r="U477" s="824"/>
      <c r="V477" s="824"/>
      <c r="W477" s="824"/>
    </row>
    <row r="478" spans="2:23" hidden="1">
      <c r="B478" s="515"/>
      <c r="C478" s="516"/>
      <c r="D478" s="515"/>
      <c r="E478" s="824"/>
      <c r="F478" s="824"/>
      <c r="G478" s="824"/>
      <c r="H478" s="824"/>
      <c r="I478" s="824"/>
      <c r="J478" s="824"/>
      <c r="K478" s="824"/>
      <c r="L478" s="824"/>
      <c r="M478" s="824"/>
      <c r="N478" s="824"/>
      <c r="O478" s="824"/>
      <c r="P478" s="824"/>
      <c r="Q478" s="824"/>
      <c r="R478" s="824"/>
      <c r="S478" s="824"/>
      <c r="T478" s="824"/>
      <c r="U478" s="824"/>
      <c r="V478" s="824"/>
      <c r="W478" s="824"/>
    </row>
    <row r="479" spans="2:23" hidden="1">
      <c r="B479" s="515"/>
      <c r="C479" s="516"/>
      <c r="D479" s="515"/>
      <c r="E479" s="824"/>
      <c r="F479" s="824"/>
      <c r="G479" s="824"/>
      <c r="H479" s="824"/>
      <c r="I479" s="824"/>
      <c r="J479" s="824"/>
      <c r="K479" s="824"/>
      <c r="L479" s="824"/>
      <c r="M479" s="824"/>
      <c r="N479" s="824"/>
      <c r="O479" s="824"/>
      <c r="P479" s="824"/>
      <c r="Q479" s="824"/>
      <c r="R479" s="824"/>
      <c r="S479" s="824"/>
      <c r="T479" s="824"/>
      <c r="U479" s="824"/>
      <c r="V479" s="824"/>
      <c r="W479" s="824"/>
    </row>
    <row r="480" spans="2:23" hidden="1">
      <c r="B480" s="515"/>
      <c r="C480" s="516"/>
      <c r="D480" s="515"/>
      <c r="E480" s="824"/>
      <c r="F480" s="824"/>
      <c r="G480" s="824"/>
      <c r="H480" s="824"/>
      <c r="I480" s="824"/>
      <c r="J480" s="824"/>
      <c r="K480" s="824"/>
      <c r="L480" s="824"/>
      <c r="M480" s="824"/>
      <c r="N480" s="824"/>
      <c r="O480" s="824"/>
      <c r="P480" s="824"/>
      <c r="Q480" s="824"/>
      <c r="R480" s="824"/>
      <c r="S480" s="824"/>
      <c r="T480" s="824"/>
      <c r="U480" s="824"/>
      <c r="V480" s="824"/>
      <c r="W480" s="824"/>
    </row>
    <row r="481" spans="2:23" hidden="1">
      <c r="B481" s="515"/>
      <c r="C481" s="516"/>
      <c r="D481" s="515"/>
      <c r="E481" s="824"/>
      <c r="F481" s="824"/>
      <c r="G481" s="824"/>
      <c r="H481" s="824"/>
      <c r="I481" s="824"/>
      <c r="J481" s="824"/>
      <c r="K481" s="824"/>
      <c r="L481" s="824"/>
      <c r="M481" s="824"/>
      <c r="N481" s="824"/>
      <c r="O481" s="824"/>
      <c r="P481" s="824"/>
      <c r="Q481" s="824"/>
      <c r="R481" s="824"/>
      <c r="S481" s="824"/>
      <c r="T481" s="824"/>
      <c r="U481" s="824"/>
      <c r="V481" s="824"/>
      <c r="W481" s="824"/>
    </row>
    <row r="482" spans="2:23" hidden="1">
      <c r="B482" s="515"/>
      <c r="C482" s="516"/>
      <c r="D482" s="515"/>
      <c r="E482" s="824"/>
      <c r="F482" s="824"/>
      <c r="G482" s="824"/>
      <c r="H482" s="824"/>
      <c r="I482" s="824"/>
      <c r="J482" s="824"/>
      <c r="K482" s="824"/>
      <c r="L482" s="824"/>
      <c r="M482" s="824"/>
      <c r="N482" s="824"/>
      <c r="O482" s="824"/>
      <c r="P482" s="824"/>
      <c r="Q482" s="824"/>
      <c r="R482" s="824"/>
      <c r="S482" s="824"/>
      <c r="T482" s="824"/>
      <c r="U482" s="824"/>
      <c r="V482" s="824"/>
      <c r="W482" s="824"/>
    </row>
    <row r="483" spans="2:23" hidden="1">
      <c r="B483" s="515"/>
      <c r="C483" s="516"/>
      <c r="D483" s="515"/>
      <c r="E483" s="824"/>
      <c r="F483" s="824"/>
      <c r="G483" s="824"/>
      <c r="H483" s="824"/>
      <c r="I483" s="824"/>
      <c r="J483" s="824"/>
      <c r="K483" s="824"/>
      <c r="L483" s="824"/>
      <c r="M483" s="824"/>
      <c r="N483" s="824"/>
      <c r="O483" s="824"/>
      <c r="P483" s="824"/>
      <c r="Q483" s="824"/>
      <c r="R483" s="824"/>
      <c r="S483" s="824"/>
      <c r="T483" s="824"/>
      <c r="U483" s="824"/>
      <c r="V483" s="824"/>
      <c r="W483" s="824"/>
    </row>
    <row r="484" spans="2:23" hidden="1">
      <c r="B484" s="515"/>
      <c r="C484" s="516"/>
      <c r="D484" s="515"/>
      <c r="E484" s="824"/>
      <c r="F484" s="824"/>
      <c r="G484" s="824"/>
      <c r="H484" s="824"/>
      <c r="I484" s="824"/>
      <c r="J484" s="824"/>
      <c r="K484" s="824"/>
      <c r="L484" s="824"/>
      <c r="M484" s="824"/>
      <c r="N484" s="824"/>
      <c r="O484" s="824"/>
      <c r="P484" s="824"/>
      <c r="Q484" s="824"/>
      <c r="R484" s="824"/>
      <c r="S484" s="824"/>
      <c r="T484" s="824"/>
      <c r="U484" s="824"/>
      <c r="V484" s="824"/>
      <c r="W484" s="824"/>
    </row>
    <row r="485" spans="2:23" hidden="1">
      <c r="B485" s="515"/>
      <c r="C485" s="516"/>
      <c r="D485" s="515"/>
      <c r="E485" s="824"/>
      <c r="F485" s="824"/>
      <c r="G485" s="824"/>
      <c r="H485" s="824"/>
      <c r="I485" s="824"/>
      <c r="J485" s="824"/>
      <c r="K485" s="824"/>
      <c r="L485" s="824"/>
      <c r="M485" s="824"/>
      <c r="N485" s="824"/>
      <c r="O485" s="824"/>
      <c r="P485" s="824"/>
      <c r="Q485" s="824"/>
      <c r="R485" s="824"/>
      <c r="S485" s="824"/>
      <c r="T485" s="824"/>
      <c r="U485" s="824"/>
      <c r="V485" s="824"/>
      <c r="W485" s="824"/>
    </row>
    <row r="486" spans="2:23" hidden="1">
      <c r="B486" s="515"/>
      <c r="C486" s="516"/>
      <c r="D486" s="515"/>
      <c r="E486" s="824"/>
      <c r="F486" s="824"/>
      <c r="G486" s="824"/>
      <c r="H486" s="824"/>
      <c r="I486" s="824"/>
      <c r="J486" s="824"/>
      <c r="K486" s="824"/>
      <c r="L486" s="824"/>
      <c r="M486" s="824"/>
      <c r="N486" s="824"/>
      <c r="O486" s="824"/>
      <c r="P486" s="824"/>
      <c r="Q486" s="824"/>
      <c r="R486" s="824"/>
      <c r="S486" s="824"/>
      <c r="T486" s="824"/>
      <c r="U486" s="824"/>
      <c r="V486" s="824"/>
      <c r="W486" s="824"/>
    </row>
    <row r="487" spans="2:23" hidden="1">
      <c r="B487" s="515"/>
      <c r="C487" s="516"/>
      <c r="D487" s="515"/>
      <c r="E487" s="824"/>
      <c r="F487" s="824"/>
      <c r="G487" s="824"/>
      <c r="H487" s="824"/>
      <c r="I487" s="824"/>
      <c r="J487" s="824"/>
      <c r="K487" s="824"/>
      <c r="L487" s="824"/>
      <c r="M487" s="824"/>
      <c r="N487" s="824"/>
      <c r="O487" s="824"/>
      <c r="P487" s="824"/>
      <c r="Q487" s="824"/>
      <c r="R487" s="824"/>
      <c r="S487" s="824"/>
      <c r="T487" s="824"/>
      <c r="U487" s="824"/>
      <c r="V487" s="824"/>
      <c r="W487" s="824"/>
    </row>
    <row r="488" spans="2:23" hidden="1">
      <c r="B488" s="515"/>
      <c r="C488" s="516"/>
      <c r="D488" s="515"/>
      <c r="E488" s="824"/>
      <c r="F488" s="824"/>
      <c r="G488" s="824"/>
      <c r="H488" s="824"/>
      <c r="I488" s="824"/>
      <c r="J488" s="824"/>
      <c r="K488" s="824"/>
      <c r="L488" s="824"/>
      <c r="M488" s="824"/>
      <c r="N488" s="824"/>
      <c r="O488" s="824"/>
      <c r="P488" s="824"/>
      <c r="Q488" s="824"/>
      <c r="R488" s="824"/>
      <c r="S488" s="824"/>
      <c r="T488" s="824"/>
      <c r="U488" s="824"/>
      <c r="V488" s="824"/>
      <c r="W488" s="824"/>
    </row>
    <row r="489" spans="2:23" hidden="1">
      <c r="B489" s="515"/>
      <c r="C489" s="516"/>
      <c r="D489" s="515"/>
      <c r="E489" s="824"/>
      <c r="F489" s="824"/>
      <c r="G489" s="824"/>
      <c r="H489" s="824"/>
      <c r="I489" s="824"/>
      <c r="J489" s="824"/>
      <c r="K489" s="824"/>
      <c r="L489" s="824"/>
      <c r="M489" s="824"/>
      <c r="N489" s="824"/>
      <c r="O489" s="824"/>
      <c r="P489" s="824"/>
      <c r="Q489" s="824"/>
      <c r="R489" s="824"/>
      <c r="S489" s="824"/>
      <c r="T489" s="824"/>
      <c r="U489" s="824"/>
      <c r="V489" s="824"/>
      <c r="W489" s="824"/>
    </row>
    <row r="490" spans="2:23" hidden="1">
      <c r="B490" s="515"/>
      <c r="C490" s="516"/>
      <c r="D490" s="515"/>
      <c r="E490" s="824"/>
      <c r="F490" s="824"/>
      <c r="G490" s="824"/>
      <c r="H490" s="824"/>
      <c r="I490" s="824"/>
      <c r="J490" s="824"/>
      <c r="K490" s="824"/>
      <c r="L490" s="824"/>
      <c r="M490" s="824"/>
      <c r="N490" s="824"/>
      <c r="O490" s="824"/>
      <c r="P490" s="824"/>
      <c r="Q490" s="824"/>
      <c r="R490" s="824"/>
      <c r="S490" s="824"/>
      <c r="T490" s="824"/>
      <c r="U490" s="824"/>
      <c r="V490" s="824"/>
      <c r="W490" s="824"/>
    </row>
    <row r="491" spans="2:23" hidden="1">
      <c r="B491" s="515"/>
      <c r="C491" s="516"/>
      <c r="D491" s="515"/>
      <c r="E491" s="824"/>
      <c r="F491" s="824"/>
      <c r="G491" s="824"/>
      <c r="H491" s="824"/>
      <c r="I491" s="824"/>
      <c r="J491" s="824"/>
      <c r="K491" s="824"/>
      <c r="L491" s="824"/>
      <c r="M491" s="824"/>
      <c r="N491" s="824"/>
      <c r="O491" s="824"/>
      <c r="P491" s="824"/>
      <c r="Q491" s="824"/>
      <c r="R491" s="824"/>
      <c r="S491" s="824"/>
      <c r="T491" s="824"/>
      <c r="U491" s="824"/>
      <c r="V491" s="824"/>
      <c r="W491" s="824"/>
    </row>
    <row r="492" spans="2:23" hidden="1">
      <c r="B492" s="515"/>
      <c r="C492" s="516"/>
      <c r="D492" s="515"/>
      <c r="E492" s="824"/>
      <c r="F492" s="824"/>
      <c r="G492" s="824"/>
      <c r="H492" s="824"/>
      <c r="I492" s="824"/>
      <c r="J492" s="824"/>
      <c r="K492" s="824"/>
      <c r="L492" s="824"/>
      <c r="M492" s="824"/>
      <c r="N492" s="824"/>
      <c r="O492" s="824"/>
      <c r="P492" s="824"/>
      <c r="Q492" s="824"/>
      <c r="R492" s="824"/>
      <c r="S492" s="824"/>
      <c r="T492" s="824"/>
      <c r="U492" s="824"/>
      <c r="V492" s="824"/>
      <c r="W492" s="824"/>
    </row>
    <row r="493" spans="2:23" hidden="1">
      <c r="B493" s="515"/>
      <c r="C493" s="516"/>
      <c r="D493" s="515"/>
      <c r="E493" s="824"/>
      <c r="F493" s="824"/>
      <c r="G493" s="824"/>
      <c r="H493" s="824"/>
      <c r="I493" s="824"/>
      <c r="J493" s="824"/>
      <c r="K493" s="824"/>
      <c r="L493" s="824"/>
      <c r="M493" s="824"/>
      <c r="N493" s="824"/>
      <c r="O493" s="824"/>
      <c r="P493" s="824"/>
      <c r="Q493" s="824"/>
      <c r="R493" s="824"/>
      <c r="S493" s="824"/>
      <c r="T493" s="824"/>
      <c r="U493" s="824"/>
      <c r="V493" s="824"/>
      <c r="W493" s="824"/>
    </row>
    <row r="494" spans="2:23" hidden="1">
      <c r="B494" s="515"/>
      <c r="C494" s="516"/>
      <c r="D494" s="515"/>
      <c r="E494" s="824"/>
      <c r="F494" s="824"/>
      <c r="G494" s="824"/>
      <c r="H494" s="824"/>
      <c r="I494" s="824"/>
      <c r="J494" s="824"/>
      <c r="K494" s="824"/>
      <c r="L494" s="824"/>
      <c r="M494" s="824"/>
      <c r="N494" s="824"/>
      <c r="O494" s="824"/>
      <c r="P494" s="824"/>
      <c r="Q494" s="824"/>
      <c r="R494" s="824"/>
      <c r="S494" s="824"/>
      <c r="T494" s="824"/>
      <c r="U494" s="824"/>
      <c r="V494" s="824"/>
      <c r="W494" s="824"/>
    </row>
    <row r="495" spans="2:23" hidden="1">
      <c r="B495" s="515"/>
      <c r="C495" s="516"/>
      <c r="D495" s="515"/>
      <c r="E495" s="824"/>
      <c r="F495" s="824"/>
      <c r="G495" s="824"/>
      <c r="H495" s="824"/>
      <c r="I495" s="824"/>
      <c r="J495" s="824"/>
      <c r="K495" s="824"/>
      <c r="L495" s="824"/>
      <c r="M495" s="824"/>
      <c r="N495" s="824"/>
      <c r="O495" s="824"/>
      <c r="P495" s="824"/>
      <c r="Q495" s="824"/>
      <c r="R495" s="824"/>
      <c r="S495" s="824"/>
      <c r="T495" s="824"/>
      <c r="U495" s="824"/>
      <c r="V495" s="824"/>
      <c r="W495" s="824"/>
    </row>
    <row r="496" spans="2:23" hidden="1">
      <c r="B496" s="515"/>
      <c r="C496" s="516"/>
      <c r="D496" s="515"/>
      <c r="E496" s="824"/>
      <c r="F496" s="824"/>
      <c r="G496" s="824"/>
      <c r="H496" s="824"/>
      <c r="I496" s="824"/>
      <c r="J496" s="824"/>
      <c r="K496" s="824"/>
      <c r="L496" s="824"/>
      <c r="M496" s="824"/>
      <c r="N496" s="824"/>
      <c r="O496" s="824"/>
      <c r="P496" s="824"/>
      <c r="Q496" s="824"/>
      <c r="R496" s="824"/>
      <c r="S496" s="824"/>
      <c r="T496" s="824"/>
      <c r="U496" s="824"/>
      <c r="V496" s="824"/>
      <c r="W496" s="824"/>
    </row>
    <row r="497" spans="2:23" hidden="1">
      <c r="B497" s="515"/>
      <c r="C497" s="516"/>
      <c r="D497" s="515"/>
      <c r="E497" s="824"/>
      <c r="F497" s="824"/>
      <c r="G497" s="824"/>
      <c r="H497" s="824"/>
      <c r="I497" s="824"/>
      <c r="J497" s="824"/>
      <c r="K497" s="824"/>
      <c r="L497" s="824"/>
      <c r="M497" s="824"/>
      <c r="N497" s="824"/>
      <c r="O497" s="824"/>
      <c r="P497" s="824"/>
      <c r="Q497" s="824"/>
      <c r="R497" s="824"/>
      <c r="S497" s="824"/>
      <c r="T497" s="824"/>
      <c r="U497" s="824"/>
      <c r="V497" s="824"/>
      <c r="W497" s="824"/>
    </row>
    <row r="498" spans="2:23" hidden="1">
      <c r="B498" s="515"/>
      <c r="C498" s="516"/>
      <c r="D498" s="515"/>
      <c r="E498" s="824"/>
      <c r="F498" s="824"/>
      <c r="G498" s="824"/>
      <c r="H498" s="824"/>
      <c r="I498" s="824"/>
      <c r="J498" s="824"/>
      <c r="K498" s="824"/>
      <c r="L498" s="824"/>
      <c r="M498" s="824"/>
      <c r="N498" s="824"/>
      <c r="O498" s="824"/>
      <c r="P498" s="824"/>
      <c r="Q498" s="824"/>
      <c r="R498" s="824"/>
      <c r="S498" s="824"/>
      <c r="T498" s="824"/>
      <c r="U498" s="824"/>
      <c r="V498" s="824"/>
      <c r="W498" s="824"/>
    </row>
    <row r="499" spans="2:23" hidden="1">
      <c r="B499" s="515"/>
      <c r="C499" s="516"/>
      <c r="D499" s="515"/>
      <c r="E499" s="824"/>
      <c r="F499" s="824"/>
      <c r="G499" s="824"/>
      <c r="H499" s="824"/>
      <c r="I499" s="824"/>
      <c r="J499" s="824"/>
      <c r="K499" s="824"/>
      <c r="L499" s="824"/>
      <c r="M499" s="824"/>
      <c r="N499" s="824"/>
      <c r="O499" s="824"/>
      <c r="P499" s="824"/>
      <c r="Q499" s="824"/>
      <c r="R499" s="824"/>
      <c r="S499" s="824"/>
      <c r="T499" s="824"/>
      <c r="U499" s="824"/>
      <c r="V499" s="824"/>
      <c r="W499" s="824"/>
    </row>
    <row r="500" spans="2:23" hidden="1">
      <c r="B500" s="515"/>
      <c r="C500" s="516"/>
      <c r="D500" s="515"/>
      <c r="E500" s="824"/>
      <c r="F500" s="824"/>
      <c r="G500" s="824"/>
      <c r="H500" s="824"/>
      <c r="I500" s="824"/>
      <c r="J500" s="824"/>
      <c r="K500" s="824"/>
      <c r="L500" s="824"/>
      <c r="M500" s="824"/>
      <c r="N500" s="824"/>
      <c r="O500" s="824"/>
      <c r="P500" s="824"/>
      <c r="Q500" s="824"/>
      <c r="R500" s="824"/>
      <c r="S500" s="824"/>
      <c r="T500" s="824"/>
      <c r="U500" s="824"/>
      <c r="V500" s="824"/>
      <c r="W500" s="824"/>
    </row>
    <row r="501" spans="2:23" hidden="1">
      <c r="B501" s="515"/>
      <c r="C501" s="516"/>
      <c r="D501" s="515"/>
      <c r="E501" s="824"/>
      <c r="F501" s="824"/>
      <c r="G501" s="824"/>
      <c r="H501" s="824"/>
      <c r="I501" s="824"/>
      <c r="J501" s="824"/>
      <c r="K501" s="824"/>
      <c r="L501" s="824"/>
      <c r="M501" s="824"/>
      <c r="N501" s="824"/>
      <c r="O501" s="824"/>
      <c r="P501" s="824"/>
      <c r="Q501" s="824"/>
      <c r="R501" s="824"/>
      <c r="S501" s="824"/>
      <c r="T501" s="824"/>
      <c r="U501" s="824"/>
      <c r="V501" s="824"/>
      <c r="W501" s="824"/>
    </row>
    <row r="502" spans="2:23" hidden="1">
      <c r="B502" s="515"/>
      <c r="C502" s="516"/>
      <c r="D502" s="515"/>
      <c r="E502" s="824"/>
      <c r="F502" s="824"/>
      <c r="G502" s="824"/>
      <c r="H502" s="824"/>
      <c r="I502" s="824"/>
      <c r="J502" s="824"/>
      <c r="K502" s="824"/>
      <c r="L502" s="824"/>
      <c r="M502" s="824"/>
      <c r="N502" s="824"/>
      <c r="O502" s="824"/>
      <c r="P502" s="824"/>
      <c r="Q502" s="824"/>
      <c r="R502" s="824"/>
      <c r="S502" s="824"/>
      <c r="T502" s="824"/>
      <c r="U502" s="824"/>
      <c r="V502" s="824"/>
      <c r="W502" s="824"/>
    </row>
    <row r="503" spans="2:23" hidden="1">
      <c r="B503" s="515"/>
      <c r="C503" s="516"/>
      <c r="D503" s="515"/>
      <c r="E503" s="824"/>
      <c r="F503" s="824"/>
      <c r="G503" s="824"/>
      <c r="H503" s="824"/>
      <c r="I503" s="824"/>
      <c r="J503" s="824"/>
      <c r="K503" s="824"/>
      <c r="L503" s="824"/>
      <c r="M503" s="824"/>
      <c r="N503" s="824"/>
      <c r="O503" s="824"/>
      <c r="P503" s="824"/>
      <c r="Q503" s="824"/>
      <c r="R503" s="824"/>
      <c r="S503" s="824"/>
      <c r="T503" s="824"/>
      <c r="U503" s="824"/>
      <c r="V503" s="824"/>
      <c r="W503" s="824"/>
    </row>
    <row r="504" spans="2:23" hidden="1">
      <c r="B504" s="515"/>
      <c r="C504" s="516"/>
      <c r="D504" s="515"/>
      <c r="E504" s="824"/>
      <c r="F504" s="824"/>
      <c r="G504" s="824"/>
      <c r="H504" s="824"/>
      <c r="I504" s="824"/>
      <c r="J504" s="824"/>
      <c r="K504" s="824"/>
      <c r="L504" s="824"/>
      <c r="M504" s="824"/>
      <c r="N504" s="824"/>
      <c r="O504" s="824"/>
      <c r="P504" s="824"/>
      <c r="Q504" s="824"/>
      <c r="R504" s="824"/>
      <c r="S504" s="824"/>
      <c r="T504" s="824"/>
      <c r="U504" s="824"/>
      <c r="V504" s="824"/>
      <c r="W504" s="824"/>
    </row>
    <row r="505" spans="2:23" hidden="1">
      <c r="B505" s="515"/>
      <c r="C505" s="516"/>
      <c r="D505" s="515"/>
      <c r="E505" s="824"/>
      <c r="F505" s="824"/>
      <c r="G505" s="824"/>
      <c r="H505" s="824"/>
      <c r="I505" s="824"/>
      <c r="J505" s="824"/>
      <c r="K505" s="824"/>
      <c r="L505" s="824"/>
      <c r="M505" s="824"/>
      <c r="N505" s="824"/>
      <c r="O505" s="824"/>
      <c r="P505" s="824"/>
      <c r="Q505" s="824"/>
      <c r="R505" s="824"/>
      <c r="S505" s="824"/>
      <c r="T505" s="824"/>
      <c r="U505" s="824"/>
      <c r="V505" s="824"/>
      <c r="W505" s="824"/>
    </row>
    <row r="506" spans="2:23" hidden="1">
      <c r="B506" s="515"/>
      <c r="C506" s="516"/>
      <c r="D506" s="515"/>
      <c r="E506" s="824"/>
      <c r="F506" s="824"/>
      <c r="G506" s="824"/>
      <c r="H506" s="824"/>
      <c r="I506" s="824"/>
      <c r="J506" s="824"/>
      <c r="K506" s="824"/>
      <c r="L506" s="824"/>
      <c r="M506" s="824"/>
      <c r="N506" s="824"/>
      <c r="O506" s="824"/>
      <c r="P506" s="824"/>
      <c r="Q506" s="824"/>
      <c r="R506" s="824"/>
      <c r="S506" s="824"/>
      <c r="T506" s="824"/>
      <c r="U506" s="824"/>
      <c r="V506" s="824"/>
      <c r="W506" s="824"/>
    </row>
    <row r="507" spans="2:23" hidden="1">
      <c r="B507" s="515"/>
      <c r="C507" s="516"/>
      <c r="D507" s="515"/>
      <c r="E507" s="824"/>
      <c r="F507" s="824"/>
      <c r="G507" s="824"/>
      <c r="H507" s="824"/>
      <c r="I507" s="824"/>
      <c r="J507" s="824"/>
      <c r="K507" s="824"/>
      <c r="L507" s="824"/>
      <c r="M507" s="824"/>
      <c r="N507" s="824"/>
      <c r="O507" s="824"/>
      <c r="P507" s="824"/>
      <c r="Q507" s="824"/>
      <c r="R507" s="824"/>
      <c r="S507" s="824"/>
      <c r="T507" s="824"/>
      <c r="U507" s="824"/>
      <c r="V507" s="824"/>
      <c r="W507" s="824"/>
    </row>
    <row r="508" spans="2:23" hidden="1">
      <c r="B508" s="515"/>
      <c r="C508" s="516"/>
      <c r="D508" s="515"/>
      <c r="E508" s="824"/>
      <c r="F508" s="824"/>
      <c r="G508" s="824"/>
      <c r="H508" s="824"/>
      <c r="I508" s="824"/>
      <c r="J508" s="824"/>
      <c r="K508" s="824"/>
      <c r="L508" s="824"/>
      <c r="M508" s="824"/>
      <c r="N508" s="824"/>
      <c r="O508" s="824"/>
      <c r="P508" s="824"/>
      <c r="Q508" s="824"/>
      <c r="R508" s="824"/>
      <c r="S508" s="824"/>
      <c r="T508" s="824"/>
      <c r="U508" s="824"/>
      <c r="V508" s="824"/>
      <c r="W508" s="824"/>
    </row>
    <row r="509" spans="2:23" hidden="1">
      <c r="B509" s="515"/>
      <c r="C509" s="516"/>
      <c r="D509" s="515"/>
      <c r="E509" s="824"/>
      <c r="F509" s="824"/>
      <c r="G509" s="824"/>
      <c r="H509" s="824"/>
      <c r="I509" s="824"/>
      <c r="J509" s="824"/>
      <c r="K509" s="824"/>
      <c r="L509" s="824"/>
      <c r="M509" s="824"/>
      <c r="N509" s="824"/>
      <c r="O509" s="824"/>
      <c r="P509" s="824"/>
      <c r="Q509" s="824"/>
      <c r="R509" s="824"/>
      <c r="S509" s="824"/>
      <c r="T509" s="824"/>
      <c r="U509" s="824"/>
      <c r="V509" s="824"/>
      <c r="W509" s="824"/>
    </row>
    <row r="510" spans="2:23" hidden="1">
      <c r="B510" s="515"/>
      <c r="C510" s="516"/>
      <c r="D510" s="515"/>
      <c r="E510" s="824"/>
      <c r="F510" s="824"/>
      <c r="G510" s="824"/>
      <c r="H510" s="824"/>
      <c r="I510" s="824"/>
      <c r="J510" s="824"/>
      <c r="K510" s="824"/>
      <c r="L510" s="824"/>
      <c r="M510" s="824"/>
      <c r="N510" s="824"/>
      <c r="O510" s="824"/>
      <c r="P510" s="824"/>
      <c r="Q510" s="824"/>
      <c r="R510" s="824"/>
      <c r="S510" s="824"/>
      <c r="T510" s="824"/>
      <c r="U510" s="824"/>
      <c r="V510" s="824"/>
      <c r="W510" s="824"/>
    </row>
    <row r="511" spans="2:23" hidden="1">
      <c r="B511" s="515"/>
      <c r="C511" s="516"/>
      <c r="D511" s="515"/>
      <c r="E511" s="824"/>
      <c r="F511" s="824"/>
      <c r="G511" s="824"/>
      <c r="H511" s="824"/>
      <c r="I511" s="824"/>
      <c r="J511" s="824"/>
      <c r="K511" s="824"/>
      <c r="L511" s="824"/>
      <c r="M511" s="824"/>
      <c r="N511" s="824"/>
      <c r="O511" s="824"/>
      <c r="P511" s="824"/>
      <c r="Q511" s="824"/>
      <c r="R511" s="824"/>
      <c r="S511" s="824"/>
      <c r="T511" s="824"/>
      <c r="U511" s="824"/>
      <c r="V511" s="824"/>
      <c r="W511" s="824"/>
    </row>
    <row r="512" spans="2:23" hidden="1">
      <c r="B512" s="515"/>
      <c r="C512" s="516"/>
      <c r="D512" s="515"/>
      <c r="E512" s="824"/>
      <c r="F512" s="824"/>
      <c r="G512" s="824"/>
      <c r="H512" s="824"/>
      <c r="I512" s="824"/>
      <c r="J512" s="824"/>
      <c r="K512" s="824"/>
      <c r="L512" s="824"/>
      <c r="M512" s="824"/>
      <c r="N512" s="824"/>
      <c r="O512" s="824"/>
      <c r="P512" s="824"/>
      <c r="Q512" s="824"/>
      <c r="R512" s="824"/>
      <c r="S512" s="824"/>
      <c r="T512" s="824"/>
      <c r="U512" s="824"/>
      <c r="V512" s="824"/>
      <c r="W512" s="824"/>
    </row>
    <row r="513" spans="2:23" hidden="1">
      <c r="B513" s="515"/>
      <c r="C513" s="516"/>
      <c r="D513" s="515"/>
      <c r="E513" s="824"/>
      <c r="F513" s="824"/>
      <c r="G513" s="824"/>
      <c r="H513" s="824"/>
      <c r="I513" s="824"/>
      <c r="J513" s="824"/>
      <c r="K513" s="824"/>
      <c r="L513" s="824"/>
      <c r="M513" s="824"/>
      <c r="N513" s="824"/>
      <c r="O513" s="824"/>
      <c r="P513" s="824"/>
      <c r="Q513" s="824"/>
      <c r="R513" s="824"/>
      <c r="S513" s="824"/>
      <c r="T513" s="824"/>
      <c r="U513" s="824"/>
      <c r="V513" s="824"/>
      <c r="W513" s="824"/>
    </row>
    <row r="514" spans="2:23" hidden="1">
      <c r="B514" s="515"/>
      <c r="C514" s="516"/>
      <c r="D514" s="515"/>
      <c r="E514" s="824"/>
      <c r="F514" s="824"/>
      <c r="G514" s="824"/>
      <c r="H514" s="824"/>
      <c r="I514" s="824"/>
      <c r="J514" s="824"/>
      <c r="K514" s="824"/>
      <c r="L514" s="824"/>
      <c r="M514" s="824"/>
      <c r="N514" s="824"/>
      <c r="O514" s="824"/>
      <c r="P514" s="824"/>
      <c r="Q514" s="824"/>
      <c r="R514" s="824"/>
      <c r="S514" s="824"/>
      <c r="T514" s="824"/>
      <c r="U514" s="824"/>
      <c r="V514" s="824"/>
      <c r="W514" s="824"/>
    </row>
    <row r="515" spans="2:23" hidden="1">
      <c r="B515" s="515"/>
      <c r="C515" s="516"/>
      <c r="D515" s="515"/>
      <c r="E515" s="824"/>
      <c r="F515" s="824"/>
      <c r="G515" s="824"/>
      <c r="H515" s="824"/>
      <c r="I515" s="824"/>
      <c r="J515" s="824"/>
      <c r="K515" s="824"/>
      <c r="L515" s="824"/>
      <c r="M515" s="824"/>
      <c r="N515" s="824"/>
      <c r="O515" s="824"/>
      <c r="P515" s="824"/>
      <c r="Q515" s="824"/>
      <c r="R515" s="824"/>
      <c r="S515" s="824"/>
      <c r="T515" s="824"/>
      <c r="U515" s="824"/>
      <c r="V515" s="824"/>
      <c r="W515" s="824"/>
    </row>
    <row r="516" spans="2:23" hidden="1">
      <c r="B516" s="515"/>
      <c r="C516" s="516"/>
      <c r="D516" s="515"/>
      <c r="E516" s="824"/>
      <c r="F516" s="824"/>
      <c r="G516" s="824"/>
      <c r="H516" s="824"/>
      <c r="I516" s="824"/>
      <c r="J516" s="824"/>
      <c r="K516" s="824"/>
      <c r="L516" s="824"/>
      <c r="M516" s="824"/>
      <c r="N516" s="824"/>
      <c r="O516" s="824"/>
      <c r="P516" s="824"/>
      <c r="Q516" s="824"/>
      <c r="R516" s="824"/>
      <c r="S516" s="824"/>
      <c r="T516" s="824"/>
      <c r="U516" s="824"/>
      <c r="V516" s="824"/>
      <c r="W516" s="824"/>
    </row>
    <row r="517" spans="2:23" hidden="1">
      <c r="B517" s="515"/>
      <c r="C517" s="516"/>
      <c r="D517" s="515"/>
      <c r="E517" s="824"/>
      <c r="F517" s="824"/>
      <c r="G517" s="824"/>
      <c r="H517" s="824"/>
      <c r="I517" s="824"/>
      <c r="J517" s="824"/>
      <c r="K517" s="824"/>
      <c r="L517" s="824"/>
      <c r="M517" s="824"/>
      <c r="N517" s="824"/>
      <c r="O517" s="824"/>
      <c r="P517" s="824"/>
      <c r="Q517" s="824"/>
      <c r="R517" s="824"/>
      <c r="S517" s="824"/>
      <c r="T517" s="824"/>
      <c r="U517" s="824"/>
      <c r="V517" s="824"/>
      <c r="W517" s="824"/>
    </row>
    <row r="518" spans="2:23" hidden="1">
      <c r="B518" s="515"/>
      <c r="C518" s="516"/>
      <c r="D518" s="515"/>
      <c r="E518" s="824"/>
      <c r="F518" s="824"/>
      <c r="G518" s="824"/>
      <c r="H518" s="824"/>
      <c r="I518" s="824"/>
      <c r="J518" s="824"/>
      <c r="K518" s="824"/>
      <c r="L518" s="824"/>
      <c r="M518" s="824"/>
      <c r="N518" s="824"/>
      <c r="O518" s="824"/>
      <c r="P518" s="824"/>
      <c r="Q518" s="824"/>
      <c r="R518" s="824"/>
      <c r="S518" s="824"/>
      <c r="T518" s="824"/>
      <c r="U518" s="824"/>
      <c r="V518" s="824"/>
      <c r="W518" s="824"/>
    </row>
    <row r="519" spans="2:23" hidden="1">
      <c r="B519" s="515"/>
      <c r="C519" s="516"/>
      <c r="D519" s="515"/>
      <c r="E519" s="824"/>
      <c r="F519" s="824"/>
      <c r="G519" s="824"/>
      <c r="H519" s="824"/>
      <c r="I519" s="824"/>
      <c r="J519" s="824"/>
      <c r="K519" s="824"/>
      <c r="L519" s="824"/>
      <c r="M519" s="824"/>
      <c r="N519" s="824"/>
      <c r="O519" s="824"/>
      <c r="P519" s="824"/>
      <c r="Q519" s="824"/>
      <c r="R519" s="824"/>
      <c r="S519" s="824"/>
      <c r="T519" s="824"/>
      <c r="U519" s="824"/>
      <c r="V519" s="824"/>
      <c r="W519" s="824"/>
    </row>
    <row r="520" spans="2:23" hidden="1">
      <c r="B520" s="515"/>
      <c r="C520" s="516"/>
      <c r="D520" s="515"/>
      <c r="E520" s="824"/>
      <c r="F520" s="824"/>
      <c r="G520" s="824"/>
      <c r="H520" s="824"/>
      <c r="I520" s="824"/>
      <c r="J520" s="824"/>
      <c r="K520" s="824"/>
      <c r="L520" s="824"/>
      <c r="M520" s="824"/>
      <c r="N520" s="824"/>
      <c r="O520" s="824"/>
      <c r="P520" s="824"/>
      <c r="Q520" s="824"/>
      <c r="R520" s="824"/>
      <c r="S520" s="824"/>
      <c r="T520" s="824"/>
      <c r="U520" s="824"/>
      <c r="V520" s="824"/>
      <c r="W520" s="824"/>
    </row>
    <row r="521" spans="2:23" hidden="1">
      <c r="B521" s="515"/>
      <c r="C521" s="516"/>
      <c r="D521" s="515"/>
      <c r="E521" s="824"/>
      <c r="F521" s="824"/>
      <c r="G521" s="824"/>
      <c r="H521" s="824"/>
      <c r="I521" s="824"/>
      <c r="J521" s="824"/>
      <c r="K521" s="824"/>
      <c r="L521" s="824"/>
      <c r="M521" s="824"/>
      <c r="N521" s="824"/>
      <c r="O521" s="824"/>
      <c r="P521" s="824"/>
      <c r="Q521" s="824"/>
      <c r="R521" s="824"/>
      <c r="S521" s="824"/>
      <c r="T521" s="824"/>
      <c r="U521" s="824"/>
      <c r="V521" s="824"/>
      <c r="W521" s="824"/>
    </row>
    <row r="522" spans="2:23" hidden="1">
      <c r="B522" s="515"/>
      <c r="C522" s="516"/>
      <c r="D522" s="515"/>
      <c r="E522" s="824"/>
      <c r="F522" s="824"/>
      <c r="G522" s="824"/>
      <c r="H522" s="824"/>
      <c r="I522" s="824"/>
      <c r="J522" s="824"/>
      <c r="K522" s="824"/>
      <c r="L522" s="824"/>
      <c r="M522" s="824"/>
      <c r="N522" s="824"/>
      <c r="O522" s="824"/>
      <c r="P522" s="824"/>
      <c r="Q522" s="824"/>
      <c r="R522" s="824"/>
      <c r="S522" s="824"/>
      <c r="T522" s="824"/>
      <c r="U522" s="824"/>
      <c r="V522" s="824"/>
      <c r="W522" s="824"/>
    </row>
    <row r="523" spans="2:23" hidden="1">
      <c r="B523" s="515"/>
      <c r="C523" s="516"/>
      <c r="D523" s="515"/>
      <c r="E523" s="824"/>
      <c r="F523" s="824"/>
      <c r="G523" s="824"/>
      <c r="H523" s="824"/>
      <c r="I523" s="824"/>
      <c r="J523" s="824"/>
      <c r="K523" s="824"/>
      <c r="L523" s="824"/>
      <c r="M523" s="824"/>
      <c r="N523" s="824"/>
      <c r="O523" s="824"/>
      <c r="P523" s="824"/>
      <c r="Q523" s="824"/>
      <c r="R523" s="824"/>
      <c r="S523" s="824"/>
      <c r="T523" s="824"/>
      <c r="U523" s="824"/>
      <c r="V523" s="824"/>
      <c r="W523" s="824"/>
    </row>
    <row r="524" spans="2:23" hidden="1">
      <c r="B524" s="515"/>
      <c r="C524" s="516"/>
      <c r="D524" s="515"/>
      <c r="E524" s="824"/>
      <c r="F524" s="824"/>
      <c r="G524" s="824"/>
      <c r="H524" s="824"/>
      <c r="I524" s="824"/>
      <c r="J524" s="824"/>
      <c r="K524" s="824"/>
      <c r="L524" s="824"/>
      <c r="M524" s="824"/>
      <c r="N524" s="824"/>
      <c r="O524" s="824"/>
      <c r="P524" s="824"/>
      <c r="Q524" s="824"/>
      <c r="R524" s="824"/>
      <c r="S524" s="824"/>
      <c r="T524" s="824"/>
      <c r="U524" s="824"/>
      <c r="V524" s="824"/>
      <c r="W524" s="824"/>
    </row>
    <row r="525" spans="2:23" hidden="1">
      <c r="B525" s="515"/>
      <c r="C525" s="516"/>
      <c r="D525" s="515"/>
      <c r="E525" s="824"/>
      <c r="F525" s="824"/>
      <c r="G525" s="824"/>
      <c r="H525" s="824"/>
      <c r="I525" s="824"/>
      <c r="J525" s="824"/>
      <c r="K525" s="824"/>
      <c r="L525" s="824"/>
      <c r="M525" s="824"/>
      <c r="N525" s="824"/>
      <c r="O525" s="824"/>
      <c r="P525" s="824"/>
      <c r="Q525" s="824"/>
      <c r="R525" s="824"/>
      <c r="S525" s="824"/>
      <c r="T525" s="824"/>
      <c r="U525" s="824"/>
      <c r="V525" s="824"/>
      <c r="W525" s="824"/>
    </row>
    <row r="526" spans="2:23" hidden="1">
      <c r="B526" s="515"/>
      <c r="C526" s="516"/>
      <c r="D526" s="515"/>
      <c r="E526" s="824"/>
      <c r="F526" s="824"/>
      <c r="G526" s="824"/>
      <c r="H526" s="824"/>
      <c r="I526" s="824"/>
      <c r="J526" s="824"/>
      <c r="K526" s="824"/>
      <c r="L526" s="824"/>
      <c r="M526" s="824"/>
      <c r="N526" s="824"/>
      <c r="O526" s="824"/>
      <c r="P526" s="824"/>
      <c r="Q526" s="824"/>
      <c r="R526" s="824"/>
      <c r="S526" s="824"/>
      <c r="T526" s="824"/>
      <c r="U526" s="824"/>
      <c r="V526" s="824"/>
      <c r="W526" s="824"/>
    </row>
    <row r="527" spans="2:23" hidden="1">
      <c r="B527" s="515"/>
      <c r="C527" s="516"/>
      <c r="D527" s="515"/>
      <c r="E527" s="824"/>
      <c r="F527" s="824"/>
      <c r="G527" s="824"/>
      <c r="H527" s="824"/>
      <c r="I527" s="824"/>
      <c r="J527" s="824"/>
      <c r="K527" s="824"/>
      <c r="L527" s="824"/>
      <c r="M527" s="824"/>
      <c r="N527" s="824"/>
      <c r="O527" s="824"/>
      <c r="P527" s="824"/>
      <c r="Q527" s="824"/>
      <c r="R527" s="824"/>
      <c r="S527" s="824"/>
      <c r="T527" s="824"/>
      <c r="U527" s="824"/>
      <c r="V527" s="824"/>
      <c r="W527" s="824"/>
    </row>
    <row r="528" spans="2:23" hidden="1">
      <c r="B528" s="515"/>
      <c r="C528" s="516"/>
      <c r="D528" s="515"/>
      <c r="E528" s="824"/>
      <c r="F528" s="824"/>
      <c r="G528" s="824"/>
      <c r="H528" s="824"/>
      <c r="I528" s="824"/>
      <c r="J528" s="824"/>
      <c r="K528" s="824"/>
      <c r="L528" s="824"/>
      <c r="M528" s="824"/>
      <c r="N528" s="824"/>
      <c r="O528" s="824"/>
      <c r="P528" s="824"/>
      <c r="Q528" s="824"/>
      <c r="R528" s="824"/>
      <c r="S528" s="824"/>
      <c r="T528" s="824"/>
      <c r="U528" s="824"/>
      <c r="V528" s="824"/>
      <c r="W528" s="824"/>
    </row>
    <row r="529" spans="2:23" hidden="1">
      <c r="B529" s="515"/>
      <c r="C529" s="516"/>
      <c r="D529" s="515"/>
      <c r="E529" s="824"/>
      <c r="F529" s="824"/>
      <c r="G529" s="824"/>
      <c r="H529" s="824"/>
      <c r="I529" s="824"/>
      <c r="J529" s="824"/>
      <c r="K529" s="824"/>
      <c r="L529" s="824"/>
      <c r="M529" s="824"/>
      <c r="N529" s="824"/>
      <c r="O529" s="824"/>
      <c r="P529" s="824"/>
      <c r="Q529" s="824"/>
      <c r="R529" s="824"/>
      <c r="S529" s="824"/>
      <c r="T529" s="824"/>
      <c r="U529" s="824"/>
      <c r="V529" s="824"/>
      <c r="W529" s="824"/>
    </row>
    <row r="530" spans="2:23" hidden="1">
      <c r="B530" s="515"/>
      <c r="C530" s="516"/>
      <c r="D530" s="515"/>
      <c r="E530" s="824"/>
      <c r="F530" s="824"/>
      <c r="G530" s="824"/>
      <c r="H530" s="824"/>
      <c r="I530" s="824"/>
      <c r="J530" s="824"/>
      <c r="K530" s="824"/>
      <c r="L530" s="824"/>
      <c r="M530" s="824"/>
      <c r="N530" s="824"/>
      <c r="O530" s="824"/>
      <c r="P530" s="824"/>
      <c r="Q530" s="824"/>
      <c r="R530" s="824"/>
      <c r="S530" s="824"/>
      <c r="T530" s="824"/>
      <c r="U530" s="824"/>
      <c r="V530" s="824"/>
      <c r="W530" s="824"/>
    </row>
    <row r="531" spans="2:23" hidden="1">
      <c r="B531" s="515"/>
      <c r="C531" s="516"/>
      <c r="D531" s="515"/>
      <c r="E531" s="824"/>
      <c r="F531" s="824"/>
      <c r="G531" s="824"/>
      <c r="H531" s="824"/>
      <c r="I531" s="824"/>
      <c r="J531" s="824"/>
      <c r="K531" s="824"/>
      <c r="L531" s="824"/>
      <c r="M531" s="824"/>
      <c r="N531" s="824"/>
      <c r="O531" s="824"/>
      <c r="P531" s="824"/>
      <c r="Q531" s="824"/>
      <c r="R531" s="824"/>
      <c r="S531" s="824"/>
      <c r="T531" s="824"/>
      <c r="U531" s="824"/>
      <c r="V531" s="824"/>
      <c r="W531" s="824"/>
    </row>
    <row r="532" spans="2:23" hidden="1">
      <c r="B532" s="515"/>
      <c r="C532" s="516"/>
      <c r="D532" s="515"/>
      <c r="E532" s="824"/>
      <c r="F532" s="824"/>
      <c r="G532" s="824"/>
      <c r="H532" s="824"/>
      <c r="I532" s="824"/>
      <c r="J532" s="824"/>
      <c r="K532" s="824"/>
      <c r="L532" s="824"/>
      <c r="M532" s="824"/>
      <c r="N532" s="824"/>
      <c r="O532" s="824"/>
      <c r="P532" s="824"/>
      <c r="Q532" s="824"/>
      <c r="R532" s="824"/>
      <c r="S532" s="824"/>
      <c r="T532" s="824"/>
      <c r="U532" s="824"/>
      <c r="V532" s="824"/>
      <c r="W532" s="824"/>
    </row>
    <row r="533" spans="2:23" hidden="1">
      <c r="B533" s="515"/>
      <c r="C533" s="516"/>
      <c r="D533" s="515"/>
      <c r="E533" s="824"/>
      <c r="F533" s="824"/>
      <c r="G533" s="824"/>
      <c r="H533" s="824"/>
      <c r="I533" s="824"/>
      <c r="J533" s="824"/>
      <c r="K533" s="824"/>
      <c r="L533" s="824"/>
      <c r="M533" s="824"/>
      <c r="N533" s="824"/>
      <c r="O533" s="824"/>
      <c r="P533" s="824"/>
      <c r="Q533" s="824"/>
      <c r="R533" s="824"/>
      <c r="S533" s="824"/>
      <c r="T533" s="824"/>
      <c r="U533" s="824"/>
      <c r="V533" s="824"/>
      <c r="W533" s="824"/>
    </row>
    <row r="534" spans="2:23" hidden="1">
      <c r="B534" s="515"/>
      <c r="C534" s="516"/>
      <c r="D534" s="515"/>
      <c r="E534" s="824"/>
      <c r="F534" s="824"/>
      <c r="G534" s="824"/>
      <c r="H534" s="824"/>
      <c r="I534" s="824"/>
      <c r="J534" s="824"/>
      <c r="K534" s="824"/>
      <c r="L534" s="824"/>
      <c r="M534" s="824"/>
      <c r="N534" s="824"/>
      <c r="O534" s="824"/>
      <c r="P534" s="824"/>
      <c r="Q534" s="824"/>
      <c r="R534" s="824"/>
      <c r="S534" s="824"/>
      <c r="T534" s="824"/>
      <c r="U534" s="824"/>
      <c r="V534" s="824"/>
      <c r="W534" s="824"/>
    </row>
    <row r="535" spans="2:23" hidden="1">
      <c r="B535" s="515"/>
      <c r="C535" s="516"/>
      <c r="D535" s="515"/>
      <c r="E535" s="824"/>
      <c r="F535" s="824"/>
      <c r="G535" s="824"/>
      <c r="H535" s="824"/>
      <c r="I535" s="824"/>
      <c r="J535" s="824"/>
      <c r="K535" s="824"/>
      <c r="L535" s="824"/>
      <c r="M535" s="824"/>
      <c r="N535" s="824"/>
      <c r="O535" s="824"/>
      <c r="P535" s="824"/>
      <c r="Q535" s="824"/>
      <c r="R535" s="824"/>
      <c r="S535" s="824"/>
      <c r="T535" s="824"/>
      <c r="U535" s="824"/>
      <c r="V535" s="824"/>
      <c r="W535" s="824"/>
    </row>
    <row r="536" spans="2:23" hidden="1">
      <c r="B536" s="515"/>
      <c r="C536" s="516"/>
      <c r="D536" s="515"/>
      <c r="E536" s="824"/>
      <c r="F536" s="824"/>
      <c r="G536" s="824"/>
      <c r="H536" s="824"/>
      <c r="I536" s="824"/>
      <c r="J536" s="824"/>
      <c r="K536" s="824"/>
      <c r="L536" s="824"/>
      <c r="M536" s="824"/>
      <c r="N536" s="824"/>
      <c r="O536" s="824"/>
      <c r="P536" s="824"/>
      <c r="Q536" s="824"/>
      <c r="R536" s="824"/>
      <c r="S536" s="824"/>
      <c r="T536" s="824"/>
      <c r="U536" s="824"/>
      <c r="V536" s="824"/>
      <c r="W536" s="824"/>
    </row>
    <row r="537" spans="2:23" hidden="1">
      <c r="B537" s="515"/>
      <c r="C537" s="516"/>
      <c r="D537" s="515"/>
      <c r="E537" s="824"/>
      <c r="F537" s="824"/>
      <c r="G537" s="824"/>
      <c r="H537" s="824"/>
      <c r="I537" s="824"/>
      <c r="J537" s="824"/>
      <c r="K537" s="824"/>
      <c r="L537" s="824"/>
      <c r="M537" s="824"/>
      <c r="N537" s="824"/>
      <c r="O537" s="824"/>
      <c r="P537" s="824"/>
      <c r="Q537" s="824"/>
      <c r="R537" s="824"/>
      <c r="S537" s="824"/>
      <c r="T537" s="824"/>
      <c r="U537" s="824"/>
      <c r="V537" s="824"/>
      <c r="W537" s="824"/>
    </row>
    <row r="538" spans="2:23" hidden="1">
      <c r="B538" s="515"/>
      <c r="C538" s="516"/>
      <c r="D538" s="515"/>
      <c r="E538" s="824"/>
      <c r="F538" s="824"/>
      <c r="G538" s="824"/>
      <c r="H538" s="824"/>
      <c r="I538" s="824"/>
      <c r="J538" s="824"/>
      <c r="K538" s="824"/>
      <c r="L538" s="824"/>
      <c r="M538" s="824"/>
      <c r="N538" s="824"/>
      <c r="O538" s="824"/>
      <c r="P538" s="824"/>
      <c r="Q538" s="824"/>
      <c r="R538" s="824"/>
      <c r="S538" s="824"/>
      <c r="T538" s="824"/>
      <c r="U538" s="824"/>
      <c r="V538" s="824"/>
      <c r="W538" s="824"/>
    </row>
    <row r="539" spans="2:23" hidden="1">
      <c r="B539" s="515"/>
      <c r="C539" s="516"/>
      <c r="D539" s="515"/>
      <c r="E539" s="824"/>
      <c r="F539" s="824"/>
      <c r="G539" s="824"/>
      <c r="H539" s="824"/>
      <c r="I539" s="824"/>
      <c r="J539" s="824"/>
      <c r="K539" s="824"/>
      <c r="L539" s="824"/>
      <c r="M539" s="824"/>
      <c r="N539" s="824"/>
      <c r="O539" s="824"/>
      <c r="P539" s="824"/>
      <c r="Q539" s="824"/>
      <c r="R539" s="824"/>
      <c r="S539" s="824"/>
      <c r="T539" s="824"/>
      <c r="U539" s="824"/>
      <c r="V539" s="824"/>
      <c r="W539" s="824"/>
    </row>
    <row r="540" spans="2:23" hidden="1">
      <c r="B540" s="515"/>
      <c r="C540" s="516"/>
      <c r="D540" s="515"/>
      <c r="E540" s="824"/>
      <c r="F540" s="824"/>
      <c r="G540" s="824"/>
      <c r="H540" s="824"/>
      <c r="I540" s="824"/>
      <c r="J540" s="824"/>
      <c r="K540" s="824"/>
      <c r="L540" s="824"/>
      <c r="M540" s="824"/>
      <c r="N540" s="824"/>
      <c r="O540" s="824"/>
      <c r="P540" s="824"/>
      <c r="Q540" s="824"/>
      <c r="R540" s="824"/>
      <c r="S540" s="824"/>
      <c r="T540" s="824"/>
      <c r="U540" s="824"/>
      <c r="V540" s="824"/>
      <c r="W540" s="824"/>
    </row>
    <row r="541" spans="2:23" hidden="1">
      <c r="B541" s="515"/>
      <c r="C541" s="516"/>
      <c r="D541" s="515"/>
      <c r="E541" s="824"/>
      <c r="F541" s="824"/>
      <c r="G541" s="824"/>
      <c r="H541" s="824"/>
      <c r="I541" s="824"/>
      <c r="J541" s="824"/>
      <c r="K541" s="824"/>
      <c r="L541" s="824"/>
      <c r="M541" s="824"/>
      <c r="N541" s="824"/>
      <c r="O541" s="824"/>
      <c r="P541" s="824"/>
      <c r="Q541" s="824"/>
      <c r="R541" s="824"/>
      <c r="S541" s="824"/>
      <c r="T541" s="824"/>
      <c r="U541" s="824"/>
      <c r="V541" s="824"/>
      <c r="W541" s="824"/>
    </row>
    <row r="542" spans="2:23" hidden="1">
      <c r="B542" s="515"/>
      <c r="C542" s="516"/>
      <c r="D542" s="515"/>
      <c r="E542" s="824"/>
      <c r="F542" s="824"/>
      <c r="G542" s="824"/>
      <c r="H542" s="824"/>
      <c r="I542" s="824"/>
      <c r="J542" s="824"/>
      <c r="K542" s="824"/>
      <c r="L542" s="824"/>
      <c r="M542" s="824"/>
      <c r="N542" s="824"/>
      <c r="O542" s="824"/>
      <c r="P542" s="824"/>
      <c r="Q542" s="824"/>
      <c r="R542" s="824"/>
      <c r="S542" s="824"/>
      <c r="T542" s="824"/>
      <c r="U542" s="824"/>
      <c r="V542" s="824"/>
      <c r="W542" s="824"/>
    </row>
    <row r="543" spans="2:23" hidden="1">
      <c r="B543" s="515"/>
      <c r="C543" s="516"/>
      <c r="D543" s="515"/>
      <c r="E543" s="824"/>
      <c r="F543" s="824"/>
      <c r="G543" s="824"/>
      <c r="H543" s="824"/>
      <c r="I543" s="824"/>
      <c r="J543" s="824"/>
      <c r="K543" s="824"/>
      <c r="L543" s="824"/>
      <c r="M543" s="824"/>
      <c r="N543" s="824"/>
      <c r="O543" s="824"/>
      <c r="P543" s="824"/>
      <c r="Q543" s="824"/>
      <c r="R543" s="824"/>
      <c r="S543" s="824"/>
      <c r="T543" s="824"/>
      <c r="U543" s="824"/>
      <c r="V543" s="824"/>
      <c r="W543" s="824"/>
    </row>
    <row r="544" spans="2:23" hidden="1">
      <c r="B544" s="515"/>
      <c r="C544" s="516"/>
      <c r="D544" s="515"/>
      <c r="E544" s="824"/>
      <c r="F544" s="824"/>
      <c r="G544" s="824"/>
      <c r="H544" s="824"/>
      <c r="I544" s="824"/>
      <c r="J544" s="824"/>
      <c r="K544" s="824"/>
      <c r="L544" s="824"/>
      <c r="M544" s="824"/>
      <c r="N544" s="824"/>
      <c r="O544" s="824"/>
      <c r="P544" s="824"/>
      <c r="Q544" s="824"/>
      <c r="R544" s="824"/>
      <c r="S544" s="824"/>
      <c r="T544" s="824"/>
      <c r="U544" s="824"/>
      <c r="V544" s="824"/>
      <c r="W544" s="824"/>
    </row>
    <row r="545" spans="2:23" hidden="1">
      <c r="B545" s="515"/>
      <c r="C545" s="516"/>
      <c r="D545" s="515"/>
      <c r="E545" s="824"/>
      <c r="F545" s="824"/>
      <c r="G545" s="824"/>
      <c r="H545" s="824"/>
      <c r="I545" s="824"/>
      <c r="J545" s="824"/>
      <c r="K545" s="824"/>
      <c r="L545" s="824"/>
      <c r="M545" s="824"/>
      <c r="N545" s="824"/>
      <c r="O545" s="824"/>
      <c r="P545" s="824"/>
      <c r="Q545" s="824"/>
      <c r="R545" s="824"/>
      <c r="S545" s="824"/>
      <c r="T545" s="824"/>
      <c r="U545" s="824"/>
      <c r="V545" s="824"/>
      <c r="W545" s="824"/>
    </row>
    <row r="546" spans="2:23" hidden="1">
      <c r="B546" s="515"/>
      <c r="C546" s="516"/>
      <c r="D546" s="515"/>
      <c r="E546" s="824"/>
      <c r="F546" s="824"/>
      <c r="G546" s="824"/>
      <c r="H546" s="824"/>
      <c r="I546" s="824"/>
      <c r="J546" s="824"/>
      <c r="K546" s="824"/>
      <c r="L546" s="824"/>
      <c r="M546" s="824"/>
      <c r="N546" s="824"/>
      <c r="O546" s="824"/>
      <c r="P546" s="824"/>
      <c r="Q546" s="824"/>
      <c r="R546" s="824"/>
      <c r="S546" s="824"/>
      <c r="T546" s="824"/>
      <c r="U546" s="824"/>
      <c r="V546" s="824"/>
      <c r="W546" s="824"/>
    </row>
    <row r="547" spans="2:23" hidden="1">
      <c r="B547" s="515"/>
      <c r="C547" s="516"/>
      <c r="D547" s="515"/>
      <c r="E547" s="824"/>
      <c r="F547" s="824"/>
      <c r="G547" s="824"/>
      <c r="H547" s="824"/>
      <c r="I547" s="824"/>
      <c r="J547" s="824"/>
      <c r="K547" s="824"/>
      <c r="L547" s="824"/>
      <c r="M547" s="824"/>
      <c r="N547" s="824"/>
      <c r="O547" s="824"/>
      <c r="P547" s="824"/>
      <c r="Q547" s="824"/>
      <c r="R547" s="824"/>
      <c r="S547" s="824"/>
      <c r="T547" s="824"/>
      <c r="U547" s="824"/>
      <c r="V547" s="824"/>
      <c r="W547" s="824"/>
    </row>
    <row r="548" spans="2:23" hidden="1">
      <c r="B548" s="515"/>
      <c r="C548" s="516"/>
      <c r="D548" s="515"/>
      <c r="E548" s="824"/>
      <c r="F548" s="824"/>
      <c r="G548" s="824"/>
      <c r="H548" s="824"/>
      <c r="I548" s="824"/>
      <c r="J548" s="824"/>
      <c r="K548" s="824"/>
      <c r="L548" s="824"/>
      <c r="M548" s="824"/>
      <c r="N548" s="824"/>
      <c r="O548" s="824"/>
      <c r="P548" s="824"/>
      <c r="Q548" s="824"/>
      <c r="R548" s="824"/>
      <c r="S548" s="824"/>
      <c r="T548" s="824"/>
      <c r="U548" s="824"/>
      <c r="V548" s="824"/>
      <c r="W548" s="824"/>
    </row>
    <row r="549" spans="2:23" hidden="1">
      <c r="B549" s="515"/>
      <c r="C549" s="516"/>
      <c r="D549" s="515"/>
      <c r="E549" s="824"/>
      <c r="F549" s="824"/>
      <c r="G549" s="824"/>
      <c r="H549" s="824"/>
      <c r="I549" s="824"/>
      <c r="J549" s="824"/>
      <c r="K549" s="824"/>
      <c r="L549" s="824"/>
      <c r="M549" s="824"/>
      <c r="N549" s="824"/>
      <c r="O549" s="824"/>
      <c r="P549" s="824"/>
      <c r="Q549" s="824"/>
      <c r="R549" s="824"/>
      <c r="S549" s="824"/>
      <c r="T549" s="824"/>
      <c r="U549" s="824"/>
      <c r="V549" s="824"/>
      <c r="W549" s="824"/>
    </row>
    <row r="550" spans="2:23" hidden="1">
      <c r="B550" s="515"/>
      <c r="C550" s="516"/>
      <c r="D550" s="515"/>
      <c r="E550" s="824"/>
      <c r="F550" s="824"/>
      <c r="G550" s="824"/>
      <c r="H550" s="824"/>
      <c r="I550" s="824"/>
      <c r="J550" s="824"/>
      <c r="K550" s="824"/>
      <c r="L550" s="824"/>
      <c r="M550" s="824"/>
      <c r="N550" s="824"/>
      <c r="O550" s="824"/>
      <c r="P550" s="824"/>
      <c r="Q550" s="824"/>
      <c r="R550" s="824"/>
      <c r="S550" s="824"/>
      <c r="T550" s="824"/>
      <c r="U550" s="824"/>
      <c r="V550" s="824"/>
      <c r="W550" s="824"/>
    </row>
    <row r="551" spans="2:23" hidden="1">
      <c r="B551" s="515"/>
      <c r="C551" s="516"/>
      <c r="D551" s="515"/>
      <c r="E551" s="824"/>
      <c r="F551" s="824"/>
      <c r="G551" s="824"/>
      <c r="H551" s="824"/>
      <c r="I551" s="824"/>
      <c r="J551" s="824"/>
      <c r="K551" s="824"/>
      <c r="L551" s="824"/>
      <c r="M551" s="824"/>
      <c r="N551" s="824"/>
      <c r="O551" s="824"/>
      <c r="P551" s="824"/>
      <c r="Q551" s="824"/>
      <c r="R551" s="824"/>
      <c r="S551" s="824"/>
      <c r="T551" s="824"/>
      <c r="U551" s="824"/>
      <c r="V551" s="824"/>
      <c r="W551" s="824"/>
    </row>
    <row r="552" spans="2:23" hidden="1">
      <c r="B552" s="515"/>
      <c r="C552" s="516"/>
      <c r="D552" s="515"/>
      <c r="E552" s="824"/>
      <c r="F552" s="824"/>
      <c r="G552" s="824"/>
      <c r="H552" s="824"/>
      <c r="I552" s="824"/>
      <c r="J552" s="824"/>
      <c r="K552" s="824"/>
      <c r="L552" s="824"/>
      <c r="M552" s="824"/>
      <c r="N552" s="824"/>
      <c r="O552" s="824"/>
      <c r="P552" s="824"/>
      <c r="Q552" s="824"/>
      <c r="R552" s="824"/>
      <c r="S552" s="824"/>
      <c r="T552" s="824"/>
      <c r="U552" s="824"/>
      <c r="V552" s="824"/>
      <c r="W552" s="824"/>
    </row>
    <row r="553" spans="2:23" hidden="1">
      <c r="B553" s="515"/>
      <c r="C553" s="516"/>
      <c r="D553" s="515"/>
      <c r="E553" s="824"/>
      <c r="F553" s="824"/>
      <c r="G553" s="824"/>
      <c r="H553" s="824"/>
      <c r="I553" s="824"/>
      <c r="J553" s="824"/>
      <c r="K553" s="824"/>
      <c r="L553" s="824"/>
      <c r="M553" s="824"/>
      <c r="N553" s="824"/>
      <c r="O553" s="824"/>
      <c r="P553" s="824"/>
      <c r="Q553" s="824"/>
      <c r="R553" s="824"/>
      <c r="S553" s="824"/>
      <c r="T553" s="824"/>
      <c r="U553" s="824"/>
      <c r="V553" s="824"/>
      <c r="W553" s="824"/>
    </row>
    <row r="554" spans="2:23" hidden="1">
      <c r="B554" s="515"/>
      <c r="C554" s="516"/>
      <c r="D554" s="515"/>
      <c r="E554" s="824"/>
      <c r="F554" s="824"/>
      <c r="G554" s="824"/>
      <c r="H554" s="824"/>
      <c r="I554" s="824"/>
      <c r="J554" s="824"/>
      <c r="K554" s="824"/>
      <c r="L554" s="824"/>
      <c r="M554" s="824"/>
      <c r="N554" s="824"/>
      <c r="O554" s="824"/>
      <c r="P554" s="824"/>
      <c r="Q554" s="824"/>
      <c r="R554" s="824"/>
      <c r="S554" s="824"/>
      <c r="T554" s="824"/>
      <c r="U554" s="824"/>
      <c r="V554" s="824"/>
      <c r="W554" s="824"/>
    </row>
    <row r="555" spans="2:23" hidden="1">
      <c r="B555" s="515"/>
      <c r="C555" s="516"/>
      <c r="D555" s="515"/>
      <c r="E555" s="824"/>
      <c r="F555" s="824"/>
      <c r="G555" s="824"/>
      <c r="H555" s="824"/>
      <c r="I555" s="824"/>
      <c r="J555" s="824"/>
      <c r="K555" s="824"/>
      <c r="L555" s="824"/>
      <c r="M555" s="824"/>
      <c r="N555" s="824"/>
      <c r="O555" s="824"/>
      <c r="P555" s="824"/>
      <c r="Q555" s="824"/>
      <c r="R555" s="824"/>
      <c r="S555" s="824"/>
      <c r="T555" s="824"/>
      <c r="U555" s="824"/>
      <c r="V555" s="824"/>
      <c r="W555" s="824"/>
    </row>
    <row r="556" spans="2:23" hidden="1">
      <c r="B556" s="515"/>
      <c r="C556" s="516"/>
      <c r="D556" s="515"/>
      <c r="E556" s="824"/>
      <c r="F556" s="824"/>
      <c r="G556" s="824"/>
      <c r="H556" s="824"/>
      <c r="I556" s="824"/>
      <c r="J556" s="824"/>
      <c r="K556" s="824"/>
      <c r="L556" s="824"/>
      <c r="M556" s="824"/>
      <c r="N556" s="824"/>
      <c r="O556" s="824"/>
      <c r="P556" s="824"/>
      <c r="Q556" s="824"/>
      <c r="R556" s="824"/>
      <c r="S556" s="824"/>
      <c r="T556" s="824"/>
      <c r="U556" s="824"/>
      <c r="V556" s="824"/>
      <c r="W556" s="824"/>
    </row>
    <row r="557" spans="2:23" hidden="1">
      <c r="B557" s="515"/>
      <c r="C557" s="516"/>
      <c r="D557" s="515"/>
      <c r="E557" s="824"/>
      <c r="F557" s="824"/>
      <c r="G557" s="824"/>
      <c r="H557" s="824"/>
      <c r="I557" s="824"/>
      <c r="J557" s="824"/>
      <c r="K557" s="824"/>
      <c r="L557" s="824"/>
      <c r="M557" s="824"/>
      <c r="N557" s="824"/>
      <c r="O557" s="824"/>
      <c r="P557" s="824"/>
      <c r="Q557" s="824"/>
      <c r="R557" s="824"/>
      <c r="S557" s="824"/>
      <c r="T557" s="824"/>
      <c r="U557" s="824"/>
      <c r="V557" s="824"/>
      <c r="W557" s="824"/>
    </row>
    <row r="558" spans="2:23" hidden="1">
      <c r="B558" s="515"/>
      <c r="C558" s="516"/>
      <c r="D558" s="515"/>
      <c r="E558" s="824"/>
      <c r="F558" s="824"/>
      <c r="G558" s="824"/>
      <c r="H558" s="824"/>
      <c r="I558" s="824"/>
      <c r="J558" s="824"/>
      <c r="K558" s="824"/>
      <c r="L558" s="824"/>
      <c r="M558" s="824"/>
      <c r="N558" s="824"/>
      <c r="O558" s="824"/>
      <c r="P558" s="824"/>
      <c r="Q558" s="824"/>
      <c r="R558" s="824"/>
      <c r="S558" s="824"/>
      <c r="T558" s="824"/>
      <c r="U558" s="824"/>
      <c r="V558" s="824"/>
      <c r="W558" s="824"/>
    </row>
    <row r="559" spans="2:23" hidden="1">
      <c r="B559" s="515"/>
      <c r="C559" s="516"/>
      <c r="D559" s="515"/>
      <c r="E559" s="824"/>
      <c r="F559" s="824"/>
      <c r="G559" s="824"/>
      <c r="H559" s="824"/>
      <c r="I559" s="824"/>
      <c r="J559" s="824"/>
      <c r="K559" s="824"/>
      <c r="L559" s="824"/>
      <c r="M559" s="824"/>
      <c r="N559" s="824"/>
      <c r="O559" s="824"/>
      <c r="P559" s="824"/>
      <c r="Q559" s="824"/>
      <c r="R559" s="824"/>
      <c r="S559" s="824"/>
      <c r="T559" s="824"/>
      <c r="U559" s="824"/>
      <c r="V559" s="824"/>
      <c r="W559" s="824"/>
    </row>
    <row r="560" spans="2:23" hidden="1">
      <c r="B560" s="515"/>
      <c r="C560" s="516"/>
      <c r="D560" s="515"/>
      <c r="E560" s="824"/>
      <c r="F560" s="824"/>
      <c r="G560" s="824"/>
      <c r="H560" s="824"/>
      <c r="I560" s="824"/>
      <c r="J560" s="824"/>
      <c r="K560" s="824"/>
      <c r="L560" s="824"/>
      <c r="M560" s="824"/>
      <c r="N560" s="824"/>
      <c r="O560" s="824"/>
      <c r="P560" s="824"/>
      <c r="Q560" s="824"/>
      <c r="R560" s="824"/>
      <c r="S560" s="824"/>
      <c r="T560" s="824"/>
      <c r="U560" s="824"/>
      <c r="V560" s="824"/>
      <c r="W560" s="824"/>
    </row>
    <row r="561" spans="2:23" hidden="1">
      <c r="B561" s="515"/>
      <c r="C561" s="516"/>
      <c r="D561" s="515"/>
      <c r="E561" s="824"/>
      <c r="F561" s="824"/>
      <c r="G561" s="824"/>
      <c r="H561" s="824"/>
      <c r="I561" s="824"/>
      <c r="J561" s="824"/>
      <c r="K561" s="824"/>
      <c r="L561" s="824"/>
      <c r="M561" s="824"/>
      <c r="N561" s="824"/>
      <c r="O561" s="824"/>
      <c r="P561" s="824"/>
      <c r="Q561" s="824"/>
      <c r="R561" s="824"/>
      <c r="S561" s="824"/>
      <c r="T561" s="824"/>
      <c r="U561" s="824"/>
      <c r="V561" s="824"/>
      <c r="W561" s="824"/>
    </row>
    <row r="562" spans="2:23" hidden="1">
      <c r="B562" s="515"/>
      <c r="C562" s="516"/>
      <c r="D562" s="515"/>
      <c r="E562" s="824"/>
      <c r="F562" s="824"/>
      <c r="G562" s="824"/>
      <c r="H562" s="824"/>
      <c r="I562" s="824"/>
      <c r="J562" s="824"/>
      <c r="K562" s="824"/>
      <c r="L562" s="824"/>
      <c r="M562" s="824"/>
      <c r="N562" s="824"/>
      <c r="O562" s="824"/>
      <c r="P562" s="824"/>
      <c r="Q562" s="824"/>
      <c r="R562" s="824"/>
      <c r="S562" s="824"/>
      <c r="T562" s="824"/>
      <c r="U562" s="824"/>
      <c r="V562" s="824"/>
      <c r="W562" s="824"/>
    </row>
    <row r="563" spans="2:23" hidden="1">
      <c r="B563" s="515"/>
      <c r="C563" s="516"/>
      <c r="D563" s="515"/>
      <c r="E563" s="824"/>
      <c r="F563" s="824"/>
      <c r="G563" s="824"/>
      <c r="H563" s="824"/>
      <c r="I563" s="824"/>
      <c r="J563" s="824"/>
      <c r="K563" s="824"/>
      <c r="L563" s="824"/>
      <c r="M563" s="824"/>
      <c r="N563" s="824"/>
      <c r="O563" s="824"/>
      <c r="P563" s="824"/>
      <c r="Q563" s="824"/>
      <c r="R563" s="824"/>
      <c r="S563" s="824"/>
      <c r="T563" s="824"/>
      <c r="U563" s="824"/>
      <c r="V563" s="824"/>
      <c r="W563" s="824"/>
    </row>
    <row r="564" spans="2:23" hidden="1">
      <c r="B564" s="515"/>
      <c r="C564" s="516"/>
      <c r="D564" s="515"/>
      <c r="E564" s="824"/>
      <c r="F564" s="824"/>
      <c r="G564" s="824"/>
      <c r="H564" s="824"/>
      <c r="I564" s="824"/>
      <c r="J564" s="824"/>
      <c r="K564" s="824"/>
      <c r="L564" s="824"/>
      <c r="M564" s="824"/>
      <c r="N564" s="824"/>
      <c r="O564" s="824"/>
      <c r="P564" s="824"/>
      <c r="Q564" s="824"/>
      <c r="R564" s="824"/>
      <c r="S564" s="824"/>
      <c r="T564" s="824"/>
      <c r="U564" s="824"/>
      <c r="V564" s="824"/>
      <c r="W564" s="824"/>
    </row>
    <row r="565" spans="2:23" hidden="1">
      <c r="B565" s="515"/>
      <c r="C565" s="516"/>
      <c r="D565" s="515"/>
      <c r="E565" s="824"/>
      <c r="F565" s="824"/>
      <c r="G565" s="824"/>
      <c r="H565" s="824"/>
      <c r="I565" s="824"/>
      <c r="J565" s="824"/>
      <c r="K565" s="824"/>
      <c r="L565" s="824"/>
      <c r="M565" s="824"/>
      <c r="N565" s="824"/>
      <c r="O565" s="824"/>
      <c r="P565" s="824"/>
      <c r="Q565" s="824"/>
      <c r="R565" s="824"/>
      <c r="S565" s="824"/>
      <c r="T565" s="824"/>
      <c r="U565" s="824"/>
      <c r="V565" s="824"/>
      <c r="W565" s="824"/>
    </row>
    <row r="566" spans="2:23" hidden="1">
      <c r="B566" s="515"/>
      <c r="C566" s="516"/>
      <c r="D566" s="515"/>
      <c r="E566" s="824"/>
      <c r="F566" s="824"/>
      <c r="G566" s="824"/>
      <c r="H566" s="824"/>
      <c r="I566" s="824"/>
      <c r="J566" s="824"/>
      <c r="K566" s="824"/>
      <c r="L566" s="824"/>
      <c r="M566" s="824"/>
      <c r="N566" s="824"/>
      <c r="O566" s="824"/>
      <c r="P566" s="824"/>
      <c r="Q566" s="824"/>
      <c r="R566" s="824"/>
      <c r="S566" s="824"/>
      <c r="T566" s="824"/>
      <c r="U566" s="824"/>
      <c r="V566" s="824"/>
      <c r="W566" s="824"/>
    </row>
    <row r="567" spans="2:23" hidden="1">
      <c r="B567" s="515"/>
      <c r="C567" s="516"/>
      <c r="D567" s="515"/>
      <c r="E567" s="824"/>
      <c r="F567" s="824"/>
      <c r="G567" s="824"/>
      <c r="H567" s="824"/>
      <c r="I567" s="824"/>
      <c r="J567" s="824"/>
      <c r="K567" s="824"/>
      <c r="L567" s="824"/>
      <c r="M567" s="824"/>
      <c r="N567" s="824"/>
      <c r="O567" s="824"/>
      <c r="P567" s="824"/>
      <c r="Q567" s="824"/>
      <c r="R567" s="824"/>
      <c r="S567" s="824"/>
      <c r="T567" s="824"/>
      <c r="U567" s="824"/>
      <c r="V567" s="824"/>
      <c r="W567" s="824"/>
    </row>
    <row r="568" spans="2:23" hidden="1">
      <c r="B568" s="515"/>
      <c r="C568" s="516"/>
      <c r="D568" s="515"/>
      <c r="E568" s="824"/>
      <c r="F568" s="824"/>
      <c r="G568" s="824"/>
      <c r="H568" s="824"/>
      <c r="I568" s="824"/>
      <c r="J568" s="824"/>
      <c r="K568" s="824"/>
      <c r="L568" s="824"/>
      <c r="M568" s="824"/>
      <c r="N568" s="824"/>
      <c r="O568" s="824"/>
      <c r="P568" s="824"/>
      <c r="Q568" s="824"/>
      <c r="R568" s="824"/>
      <c r="S568" s="824"/>
      <c r="T568" s="824"/>
      <c r="U568" s="824"/>
      <c r="V568" s="824"/>
      <c r="W568" s="824"/>
    </row>
    <row r="569" spans="2:23" hidden="1">
      <c r="B569" s="515"/>
      <c r="C569" s="516"/>
      <c r="D569" s="515"/>
      <c r="E569" s="824"/>
      <c r="F569" s="824"/>
      <c r="G569" s="824"/>
      <c r="H569" s="824"/>
      <c r="I569" s="824"/>
      <c r="J569" s="824"/>
      <c r="K569" s="824"/>
      <c r="L569" s="824"/>
      <c r="M569" s="824"/>
      <c r="N569" s="824"/>
      <c r="O569" s="824"/>
      <c r="P569" s="824"/>
      <c r="Q569" s="824"/>
      <c r="R569" s="824"/>
      <c r="S569" s="824"/>
      <c r="T569" s="824"/>
      <c r="U569" s="824"/>
      <c r="V569" s="824"/>
      <c r="W569" s="824"/>
    </row>
    <row r="570" spans="2:23" hidden="1">
      <c r="B570" s="515"/>
      <c r="C570" s="516"/>
      <c r="D570" s="515"/>
      <c r="E570" s="824"/>
      <c r="F570" s="824"/>
      <c r="G570" s="824"/>
      <c r="H570" s="824"/>
      <c r="I570" s="824"/>
      <c r="J570" s="824"/>
      <c r="K570" s="824"/>
      <c r="L570" s="824"/>
      <c r="M570" s="824"/>
      <c r="N570" s="824"/>
      <c r="O570" s="824"/>
      <c r="P570" s="824"/>
      <c r="Q570" s="824"/>
      <c r="R570" s="824"/>
      <c r="S570" s="824"/>
      <c r="T570" s="824"/>
      <c r="U570" s="824"/>
      <c r="V570" s="824"/>
      <c r="W570" s="824"/>
    </row>
    <row r="571" spans="2:23" hidden="1">
      <c r="B571" s="515"/>
      <c r="C571" s="516"/>
      <c r="D571" s="515"/>
      <c r="E571" s="824"/>
      <c r="F571" s="824"/>
      <c r="G571" s="824"/>
      <c r="H571" s="824"/>
      <c r="I571" s="824"/>
      <c r="J571" s="824"/>
      <c r="K571" s="824"/>
      <c r="L571" s="824"/>
      <c r="M571" s="824"/>
      <c r="N571" s="824"/>
      <c r="O571" s="824"/>
      <c r="P571" s="824"/>
      <c r="Q571" s="824"/>
      <c r="R571" s="824"/>
      <c r="S571" s="824"/>
      <c r="T571" s="824"/>
      <c r="U571" s="824"/>
      <c r="V571" s="824"/>
      <c r="W571" s="824"/>
    </row>
    <row r="572" spans="2:23" hidden="1">
      <c r="B572" s="515"/>
      <c r="C572" s="516"/>
      <c r="D572" s="515"/>
      <c r="E572" s="824"/>
      <c r="F572" s="824"/>
      <c r="G572" s="824"/>
      <c r="H572" s="824"/>
      <c r="I572" s="824"/>
      <c r="J572" s="824"/>
      <c r="K572" s="824"/>
      <c r="L572" s="824"/>
      <c r="M572" s="824"/>
      <c r="N572" s="824"/>
      <c r="O572" s="824"/>
      <c r="P572" s="824"/>
      <c r="Q572" s="824"/>
      <c r="R572" s="824"/>
      <c r="S572" s="824"/>
      <c r="T572" s="824"/>
      <c r="U572" s="824"/>
      <c r="V572" s="824"/>
      <c r="W572" s="824"/>
    </row>
    <row r="573" spans="2:23" hidden="1">
      <c r="B573" s="515"/>
      <c r="C573" s="516"/>
      <c r="D573" s="515"/>
      <c r="E573" s="824"/>
      <c r="F573" s="824"/>
      <c r="G573" s="824"/>
      <c r="H573" s="824"/>
      <c r="I573" s="824"/>
      <c r="J573" s="824"/>
      <c r="K573" s="824"/>
      <c r="L573" s="824"/>
      <c r="M573" s="824"/>
      <c r="N573" s="824"/>
      <c r="O573" s="824"/>
      <c r="P573" s="824"/>
      <c r="Q573" s="824"/>
      <c r="R573" s="824"/>
      <c r="S573" s="824"/>
      <c r="T573" s="824"/>
      <c r="U573" s="824"/>
      <c r="V573" s="824"/>
      <c r="W573" s="824"/>
    </row>
    <row r="574" spans="2:23" hidden="1">
      <c r="B574" s="515"/>
      <c r="C574" s="516"/>
      <c r="D574" s="515"/>
      <c r="E574" s="824"/>
      <c r="F574" s="824"/>
      <c r="G574" s="824"/>
      <c r="H574" s="824"/>
      <c r="I574" s="824"/>
      <c r="J574" s="824"/>
      <c r="K574" s="824"/>
      <c r="L574" s="824"/>
      <c r="M574" s="824"/>
      <c r="N574" s="824"/>
      <c r="O574" s="824"/>
      <c r="P574" s="824"/>
      <c r="Q574" s="824"/>
      <c r="R574" s="824"/>
      <c r="S574" s="824"/>
      <c r="T574" s="824"/>
      <c r="U574" s="824"/>
      <c r="V574" s="824"/>
      <c r="W574" s="824"/>
    </row>
    <row r="575" spans="2:23" hidden="1">
      <c r="B575" s="515"/>
      <c r="C575" s="516"/>
      <c r="D575" s="515"/>
      <c r="E575" s="824"/>
      <c r="F575" s="824"/>
      <c r="G575" s="824"/>
      <c r="H575" s="824"/>
      <c r="I575" s="824"/>
      <c r="J575" s="824"/>
      <c r="K575" s="824"/>
      <c r="L575" s="824"/>
      <c r="M575" s="824"/>
      <c r="N575" s="824"/>
      <c r="O575" s="824"/>
      <c r="P575" s="824"/>
      <c r="Q575" s="824"/>
      <c r="R575" s="824"/>
      <c r="S575" s="824"/>
      <c r="T575" s="824"/>
      <c r="U575" s="824"/>
      <c r="V575" s="824"/>
      <c r="W575" s="824"/>
    </row>
    <row r="576" spans="2:23" hidden="1">
      <c r="B576" s="515"/>
      <c r="C576" s="516"/>
      <c r="D576" s="515"/>
      <c r="E576" s="824"/>
      <c r="F576" s="824"/>
      <c r="G576" s="824"/>
      <c r="H576" s="824"/>
      <c r="I576" s="824"/>
      <c r="J576" s="824"/>
      <c r="K576" s="824"/>
      <c r="L576" s="824"/>
      <c r="M576" s="824"/>
      <c r="N576" s="824"/>
      <c r="O576" s="824"/>
      <c r="P576" s="824"/>
      <c r="Q576" s="824"/>
      <c r="R576" s="824"/>
      <c r="S576" s="824"/>
      <c r="T576" s="824"/>
      <c r="U576" s="824"/>
      <c r="V576" s="824"/>
      <c r="W576" s="824"/>
    </row>
    <row r="577" spans="2:23" hidden="1">
      <c r="B577" s="515"/>
      <c r="C577" s="516"/>
      <c r="D577" s="515"/>
      <c r="E577" s="824"/>
      <c r="F577" s="824"/>
      <c r="G577" s="824"/>
      <c r="H577" s="824"/>
      <c r="I577" s="824"/>
      <c r="J577" s="824"/>
      <c r="K577" s="824"/>
      <c r="L577" s="824"/>
      <c r="M577" s="824"/>
      <c r="N577" s="824"/>
      <c r="O577" s="824"/>
      <c r="P577" s="824"/>
      <c r="Q577" s="824"/>
      <c r="R577" s="824"/>
      <c r="S577" s="824"/>
      <c r="T577" s="824"/>
      <c r="U577" s="824"/>
      <c r="V577" s="824"/>
      <c r="W577" s="824"/>
    </row>
    <row r="578" spans="2:23" hidden="1">
      <c r="B578" s="515"/>
      <c r="C578" s="516"/>
      <c r="D578" s="515"/>
      <c r="E578" s="824"/>
      <c r="F578" s="824"/>
      <c r="G578" s="824"/>
      <c r="H578" s="824"/>
      <c r="I578" s="824"/>
      <c r="J578" s="824"/>
      <c r="K578" s="824"/>
      <c r="L578" s="824"/>
      <c r="M578" s="824"/>
      <c r="N578" s="824"/>
      <c r="O578" s="824"/>
      <c r="P578" s="824"/>
      <c r="Q578" s="824"/>
      <c r="R578" s="824"/>
      <c r="S578" s="824"/>
      <c r="T578" s="824"/>
      <c r="U578" s="824"/>
      <c r="V578" s="824"/>
      <c r="W578" s="824"/>
    </row>
    <row r="579" spans="2:23" hidden="1">
      <c r="B579" s="515"/>
      <c r="C579" s="516"/>
      <c r="D579" s="515"/>
      <c r="E579" s="824"/>
      <c r="F579" s="824"/>
      <c r="G579" s="824"/>
      <c r="H579" s="824"/>
      <c r="I579" s="824"/>
      <c r="J579" s="824"/>
      <c r="K579" s="824"/>
      <c r="L579" s="824"/>
      <c r="M579" s="824"/>
      <c r="N579" s="824"/>
      <c r="O579" s="824"/>
      <c r="P579" s="824"/>
      <c r="Q579" s="824"/>
      <c r="R579" s="824"/>
      <c r="S579" s="824"/>
      <c r="T579" s="824"/>
      <c r="U579" s="824"/>
      <c r="V579" s="824"/>
      <c r="W579" s="824"/>
    </row>
    <row r="580" spans="2:23" hidden="1">
      <c r="B580" s="515"/>
      <c r="C580" s="516"/>
      <c r="D580" s="515"/>
      <c r="E580" s="824"/>
      <c r="F580" s="824"/>
      <c r="G580" s="824"/>
      <c r="H580" s="824"/>
      <c r="I580" s="824"/>
      <c r="J580" s="824"/>
      <c r="K580" s="824"/>
      <c r="L580" s="824"/>
      <c r="M580" s="824"/>
      <c r="N580" s="824"/>
      <c r="O580" s="824"/>
      <c r="P580" s="824"/>
      <c r="Q580" s="824"/>
      <c r="R580" s="824"/>
      <c r="S580" s="824"/>
      <c r="T580" s="824"/>
      <c r="U580" s="824"/>
      <c r="V580" s="824"/>
      <c r="W580" s="824"/>
    </row>
    <row r="581" spans="2:23" hidden="1">
      <c r="B581" s="515"/>
      <c r="C581" s="516"/>
      <c r="D581" s="515"/>
      <c r="E581" s="824"/>
      <c r="F581" s="824"/>
      <c r="G581" s="824"/>
      <c r="H581" s="824"/>
      <c r="I581" s="824"/>
      <c r="J581" s="824"/>
      <c r="K581" s="824"/>
      <c r="L581" s="824"/>
      <c r="M581" s="824"/>
      <c r="N581" s="824"/>
      <c r="O581" s="824"/>
      <c r="P581" s="824"/>
      <c r="Q581" s="824"/>
      <c r="R581" s="824"/>
      <c r="S581" s="824"/>
      <c r="T581" s="824"/>
      <c r="U581" s="824"/>
      <c r="V581" s="824"/>
      <c r="W581" s="824"/>
    </row>
    <row r="582" spans="2:23" hidden="1">
      <c r="B582" s="515"/>
      <c r="C582" s="516"/>
      <c r="D582" s="515"/>
      <c r="E582" s="824"/>
      <c r="F582" s="824"/>
      <c r="G582" s="824"/>
      <c r="H582" s="824"/>
      <c r="I582" s="824"/>
      <c r="J582" s="824"/>
      <c r="K582" s="824"/>
      <c r="L582" s="824"/>
      <c r="M582" s="824"/>
      <c r="N582" s="824"/>
      <c r="O582" s="824"/>
      <c r="P582" s="824"/>
      <c r="Q582" s="824"/>
      <c r="R582" s="824"/>
      <c r="S582" s="824"/>
      <c r="T582" s="824"/>
      <c r="U582" s="824"/>
      <c r="V582" s="824"/>
      <c r="W582" s="824"/>
    </row>
    <row r="583" spans="2:23" hidden="1">
      <c r="B583" s="515"/>
      <c r="C583" s="516"/>
      <c r="D583" s="515"/>
      <c r="E583" s="824"/>
      <c r="F583" s="824"/>
      <c r="G583" s="824"/>
      <c r="H583" s="824"/>
      <c r="I583" s="824"/>
      <c r="J583" s="824"/>
      <c r="K583" s="824"/>
      <c r="L583" s="824"/>
      <c r="M583" s="824"/>
      <c r="N583" s="824"/>
      <c r="O583" s="824"/>
      <c r="P583" s="824"/>
      <c r="Q583" s="824"/>
      <c r="R583" s="824"/>
      <c r="S583" s="824"/>
      <c r="T583" s="824"/>
      <c r="U583" s="824"/>
      <c r="V583" s="824"/>
      <c r="W583" s="824"/>
    </row>
    <row r="584" spans="2:23" hidden="1">
      <c r="B584" s="515"/>
      <c r="C584" s="516"/>
      <c r="D584" s="515"/>
      <c r="E584" s="824"/>
      <c r="F584" s="824"/>
      <c r="G584" s="824"/>
      <c r="H584" s="824"/>
      <c r="I584" s="824"/>
      <c r="J584" s="824"/>
      <c r="K584" s="824"/>
      <c r="L584" s="824"/>
      <c r="M584" s="824"/>
      <c r="N584" s="824"/>
      <c r="O584" s="824"/>
      <c r="P584" s="824"/>
      <c r="Q584" s="824"/>
      <c r="R584" s="824"/>
      <c r="S584" s="824"/>
      <c r="T584" s="824"/>
      <c r="U584" s="824"/>
      <c r="V584" s="824"/>
      <c r="W584" s="824"/>
    </row>
    <row r="585" spans="2:23" hidden="1">
      <c r="B585" s="515"/>
      <c r="C585" s="516"/>
      <c r="D585" s="515"/>
      <c r="E585" s="824"/>
      <c r="F585" s="824"/>
      <c r="G585" s="824"/>
      <c r="H585" s="824"/>
      <c r="I585" s="824"/>
      <c r="J585" s="824"/>
      <c r="K585" s="824"/>
      <c r="L585" s="824"/>
      <c r="M585" s="824"/>
      <c r="N585" s="824"/>
      <c r="O585" s="824"/>
      <c r="P585" s="824"/>
      <c r="Q585" s="824"/>
      <c r="R585" s="824"/>
      <c r="S585" s="824"/>
      <c r="T585" s="824"/>
      <c r="U585" s="824"/>
      <c r="V585" s="824"/>
      <c r="W585" s="824"/>
    </row>
    <row r="586" spans="2:23" hidden="1">
      <c r="B586" s="515"/>
      <c r="C586" s="516"/>
      <c r="D586" s="515"/>
      <c r="E586" s="824"/>
      <c r="F586" s="824"/>
      <c r="G586" s="824"/>
      <c r="H586" s="824"/>
      <c r="I586" s="824"/>
      <c r="J586" s="824"/>
      <c r="K586" s="824"/>
      <c r="L586" s="824"/>
      <c r="M586" s="824"/>
      <c r="N586" s="824"/>
      <c r="O586" s="824"/>
      <c r="P586" s="824"/>
      <c r="Q586" s="824"/>
      <c r="R586" s="824"/>
      <c r="S586" s="824"/>
      <c r="T586" s="824"/>
      <c r="U586" s="824"/>
      <c r="V586" s="824"/>
      <c r="W586" s="824"/>
    </row>
    <row r="587" spans="2:23" hidden="1">
      <c r="B587" s="515"/>
      <c r="C587" s="516"/>
      <c r="D587" s="515"/>
      <c r="E587" s="824"/>
      <c r="F587" s="824"/>
      <c r="G587" s="824"/>
      <c r="H587" s="824"/>
      <c r="I587" s="824"/>
      <c r="J587" s="824"/>
      <c r="K587" s="824"/>
      <c r="L587" s="824"/>
      <c r="M587" s="824"/>
      <c r="N587" s="824"/>
      <c r="O587" s="824"/>
      <c r="P587" s="824"/>
      <c r="Q587" s="824"/>
      <c r="R587" s="824"/>
      <c r="S587" s="824"/>
      <c r="T587" s="824"/>
      <c r="U587" s="824"/>
      <c r="V587" s="824"/>
      <c r="W587" s="824"/>
    </row>
    <row r="588" spans="2:23" hidden="1">
      <c r="B588" s="515"/>
      <c r="C588" s="516"/>
      <c r="D588" s="515"/>
      <c r="E588" s="824"/>
      <c r="F588" s="824"/>
      <c r="G588" s="824"/>
      <c r="H588" s="824"/>
      <c r="I588" s="824"/>
      <c r="J588" s="824"/>
      <c r="K588" s="824"/>
      <c r="L588" s="824"/>
      <c r="M588" s="824"/>
      <c r="N588" s="824"/>
      <c r="O588" s="824"/>
      <c r="P588" s="824"/>
      <c r="Q588" s="824"/>
      <c r="R588" s="824"/>
      <c r="S588" s="824"/>
      <c r="T588" s="824"/>
      <c r="U588" s="824"/>
      <c r="V588" s="824"/>
      <c r="W588" s="824"/>
    </row>
    <row r="589" spans="2:23" hidden="1">
      <c r="B589" s="515"/>
      <c r="C589" s="516"/>
      <c r="D589" s="515"/>
      <c r="E589" s="824"/>
      <c r="F589" s="824"/>
      <c r="G589" s="824"/>
      <c r="H589" s="824"/>
      <c r="I589" s="824"/>
      <c r="J589" s="824"/>
      <c r="K589" s="824"/>
      <c r="L589" s="824"/>
      <c r="M589" s="824"/>
      <c r="N589" s="824"/>
      <c r="O589" s="824"/>
      <c r="P589" s="824"/>
      <c r="Q589" s="824"/>
      <c r="R589" s="824"/>
      <c r="S589" s="824"/>
      <c r="T589" s="824"/>
      <c r="U589" s="824"/>
      <c r="V589" s="824"/>
      <c r="W589" s="824"/>
    </row>
    <row r="590" spans="2:23" hidden="1">
      <c r="B590" s="515"/>
      <c r="C590" s="516"/>
      <c r="D590" s="515"/>
      <c r="E590" s="824"/>
      <c r="F590" s="824"/>
      <c r="G590" s="824"/>
      <c r="H590" s="824"/>
      <c r="I590" s="824"/>
      <c r="J590" s="824"/>
      <c r="K590" s="824"/>
      <c r="L590" s="824"/>
      <c r="M590" s="824"/>
      <c r="N590" s="824"/>
      <c r="O590" s="824"/>
      <c r="P590" s="824"/>
      <c r="Q590" s="824"/>
      <c r="R590" s="824"/>
      <c r="S590" s="824"/>
      <c r="T590" s="824"/>
      <c r="U590" s="824"/>
      <c r="V590" s="824"/>
      <c r="W590" s="824"/>
    </row>
    <row r="591" spans="2:23" hidden="1">
      <c r="B591" s="515"/>
      <c r="C591" s="516"/>
      <c r="D591" s="515"/>
      <c r="E591" s="824"/>
      <c r="F591" s="824"/>
      <c r="G591" s="824"/>
      <c r="H591" s="824"/>
      <c r="I591" s="824"/>
      <c r="J591" s="824"/>
      <c r="K591" s="824"/>
      <c r="L591" s="824"/>
      <c r="M591" s="824"/>
      <c r="N591" s="824"/>
      <c r="O591" s="824"/>
      <c r="P591" s="824"/>
      <c r="Q591" s="824"/>
      <c r="R591" s="824"/>
      <c r="S591" s="824"/>
      <c r="T591" s="824"/>
      <c r="U591" s="824"/>
      <c r="V591" s="824"/>
      <c r="W591" s="824"/>
    </row>
    <row r="592" spans="2:23" hidden="1">
      <c r="B592" s="515"/>
      <c r="C592" s="516"/>
      <c r="D592" s="515"/>
      <c r="E592" s="824"/>
      <c r="F592" s="824"/>
      <c r="G592" s="824"/>
      <c r="H592" s="824"/>
      <c r="I592" s="824"/>
      <c r="J592" s="824"/>
      <c r="K592" s="824"/>
      <c r="L592" s="824"/>
      <c r="M592" s="824"/>
      <c r="N592" s="824"/>
      <c r="O592" s="824"/>
      <c r="P592" s="824"/>
      <c r="Q592" s="824"/>
      <c r="R592" s="824"/>
      <c r="S592" s="824"/>
      <c r="T592" s="824"/>
      <c r="U592" s="824"/>
      <c r="V592" s="824"/>
      <c r="W592" s="824"/>
    </row>
    <row r="593" spans="2:23" hidden="1">
      <c r="B593" s="515"/>
      <c r="C593" s="516"/>
      <c r="D593" s="515"/>
      <c r="E593" s="824"/>
      <c r="F593" s="824"/>
      <c r="G593" s="824"/>
      <c r="H593" s="824"/>
      <c r="I593" s="824"/>
      <c r="J593" s="824"/>
      <c r="K593" s="824"/>
      <c r="L593" s="824"/>
      <c r="M593" s="824"/>
      <c r="N593" s="824"/>
      <c r="O593" s="824"/>
      <c r="P593" s="824"/>
      <c r="Q593" s="824"/>
      <c r="R593" s="824"/>
      <c r="S593" s="824"/>
      <c r="T593" s="824"/>
      <c r="U593" s="824"/>
      <c r="V593" s="824"/>
      <c r="W593" s="824"/>
    </row>
    <row r="594" spans="2:23" hidden="1">
      <c r="B594" s="515"/>
      <c r="C594" s="516"/>
      <c r="D594" s="515"/>
      <c r="E594" s="824"/>
      <c r="F594" s="824"/>
      <c r="G594" s="824"/>
      <c r="H594" s="824"/>
      <c r="I594" s="824"/>
      <c r="J594" s="824"/>
      <c r="K594" s="824"/>
      <c r="L594" s="824"/>
      <c r="M594" s="824"/>
      <c r="N594" s="824"/>
      <c r="O594" s="824"/>
      <c r="P594" s="824"/>
      <c r="Q594" s="824"/>
      <c r="R594" s="824"/>
      <c r="S594" s="824"/>
      <c r="T594" s="824"/>
      <c r="U594" s="824"/>
      <c r="V594" s="824"/>
      <c r="W594" s="824"/>
    </row>
    <row r="595" spans="2:23" hidden="1">
      <c r="B595" s="515"/>
      <c r="C595" s="516"/>
      <c r="D595" s="515"/>
      <c r="E595" s="824"/>
      <c r="F595" s="824"/>
      <c r="G595" s="824"/>
      <c r="H595" s="824"/>
      <c r="I595" s="824"/>
      <c r="J595" s="824"/>
      <c r="K595" s="824"/>
      <c r="L595" s="824"/>
      <c r="M595" s="824"/>
      <c r="N595" s="824"/>
      <c r="O595" s="824"/>
      <c r="P595" s="824"/>
      <c r="Q595" s="824"/>
      <c r="R595" s="824"/>
      <c r="S595" s="824"/>
      <c r="T595" s="824"/>
      <c r="U595" s="824"/>
      <c r="V595" s="824"/>
      <c r="W595" s="824"/>
    </row>
    <row r="596" spans="2:23" hidden="1">
      <c r="B596" s="515"/>
      <c r="C596" s="516"/>
      <c r="D596" s="515"/>
      <c r="E596" s="824"/>
      <c r="F596" s="824"/>
      <c r="G596" s="824"/>
      <c r="H596" s="824"/>
      <c r="I596" s="824"/>
      <c r="J596" s="824"/>
      <c r="K596" s="824"/>
      <c r="L596" s="824"/>
      <c r="M596" s="824"/>
      <c r="N596" s="824"/>
      <c r="O596" s="824"/>
      <c r="P596" s="824"/>
      <c r="Q596" s="824"/>
      <c r="R596" s="824"/>
      <c r="S596" s="824"/>
      <c r="T596" s="824"/>
      <c r="U596" s="824"/>
      <c r="V596" s="824"/>
      <c r="W596" s="824"/>
    </row>
    <row r="597" spans="2:23" hidden="1">
      <c r="B597" s="515"/>
      <c r="C597" s="516"/>
      <c r="D597" s="515"/>
      <c r="E597" s="824"/>
      <c r="F597" s="824"/>
      <c r="G597" s="824"/>
      <c r="H597" s="824"/>
      <c r="I597" s="824"/>
      <c r="J597" s="824"/>
      <c r="K597" s="824"/>
      <c r="L597" s="824"/>
      <c r="M597" s="824"/>
      <c r="N597" s="824"/>
      <c r="O597" s="824"/>
      <c r="P597" s="824"/>
      <c r="Q597" s="824"/>
      <c r="R597" s="824"/>
      <c r="S597" s="824"/>
      <c r="T597" s="824"/>
      <c r="U597" s="824"/>
      <c r="V597" s="824"/>
      <c r="W597" s="824"/>
    </row>
    <row r="598" spans="2:23" hidden="1">
      <c r="B598" s="515"/>
      <c r="C598" s="516"/>
      <c r="D598" s="515"/>
      <c r="E598" s="824"/>
      <c r="F598" s="824"/>
      <c r="G598" s="824"/>
      <c r="H598" s="824"/>
      <c r="I598" s="824"/>
      <c r="J598" s="824"/>
      <c r="K598" s="824"/>
      <c r="L598" s="824"/>
      <c r="M598" s="824"/>
      <c r="N598" s="824"/>
      <c r="O598" s="824"/>
      <c r="P598" s="824"/>
      <c r="Q598" s="824"/>
      <c r="R598" s="824"/>
      <c r="S598" s="824"/>
      <c r="T598" s="824"/>
      <c r="U598" s="824"/>
      <c r="V598" s="824"/>
      <c r="W598" s="824"/>
    </row>
    <row r="599" spans="2:23" hidden="1">
      <c r="B599" s="515"/>
      <c r="C599" s="516"/>
      <c r="D599" s="515"/>
      <c r="E599" s="824"/>
      <c r="F599" s="824"/>
      <c r="G599" s="824"/>
      <c r="H599" s="824"/>
      <c r="I599" s="824"/>
      <c r="J599" s="824"/>
      <c r="K599" s="824"/>
      <c r="L599" s="824"/>
      <c r="M599" s="824"/>
      <c r="N599" s="824"/>
      <c r="O599" s="824"/>
      <c r="P599" s="824"/>
      <c r="Q599" s="824"/>
      <c r="R599" s="824"/>
      <c r="S599" s="824"/>
      <c r="T599" s="824"/>
      <c r="U599" s="824"/>
      <c r="V599" s="824"/>
      <c r="W599" s="824"/>
    </row>
    <row r="600" spans="2:23" hidden="1">
      <c r="B600" s="515"/>
      <c r="C600" s="516"/>
      <c r="D600" s="515"/>
      <c r="E600" s="824"/>
      <c r="F600" s="824"/>
      <c r="G600" s="824"/>
      <c r="H600" s="824"/>
      <c r="I600" s="824"/>
      <c r="J600" s="824"/>
      <c r="K600" s="824"/>
      <c r="L600" s="824"/>
      <c r="M600" s="824"/>
      <c r="N600" s="824"/>
      <c r="O600" s="824"/>
      <c r="P600" s="824"/>
      <c r="Q600" s="824"/>
      <c r="R600" s="824"/>
      <c r="S600" s="824"/>
      <c r="T600" s="824"/>
      <c r="U600" s="824"/>
      <c r="V600" s="824"/>
      <c r="W600" s="824"/>
    </row>
    <row r="601" spans="2:23" hidden="1">
      <c r="B601" s="515"/>
      <c r="C601" s="516"/>
      <c r="D601" s="515"/>
      <c r="E601" s="824"/>
      <c r="F601" s="824"/>
      <c r="G601" s="824"/>
      <c r="H601" s="824"/>
      <c r="I601" s="824"/>
      <c r="J601" s="824"/>
      <c r="K601" s="824"/>
      <c r="L601" s="824"/>
      <c r="M601" s="824"/>
      <c r="N601" s="824"/>
      <c r="O601" s="824"/>
      <c r="P601" s="824"/>
      <c r="Q601" s="824"/>
      <c r="R601" s="824"/>
      <c r="S601" s="824"/>
      <c r="T601" s="824"/>
      <c r="U601" s="824"/>
      <c r="V601" s="824"/>
      <c r="W601" s="824"/>
    </row>
    <row r="602" spans="2:23" hidden="1">
      <c r="B602" s="515"/>
      <c r="C602" s="516"/>
      <c r="D602" s="515"/>
      <c r="E602" s="824"/>
      <c r="F602" s="824"/>
      <c r="G602" s="824"/>
      <c r="H602" s="824"/>
      <c r="I602" s="824"/>
      <c r="J602" s="824"/>
      <c r="K602" s="824"/>
      <c r="L602" s="824"/>
      <c r="M602" s="824"/>
      <c r="N602" s="824"/>
      <c r="O602" s="824"/>
      <c r="P602" s="824"/>
      <c r="Q602" s="824"/>
      <c r="R602" s="824"/>
      <c r="S602" s="824"/>
      <c r="T602" s="824"/>
      <c r="U602" s="824"/>
      <c r="V602" s="824"/>
      <c r="W602" s="824"/>
    </row>
    <row r="603" spans="2:23" hidden="1">
      <c r="B603" s="515"/>
      <c r="C603" s="516"/>
      <c r="D603" s="515"/>
      <c r="E603" s="824"/>
      <c r="F603" s="824"/>
      <c r="G603" s="824"/>
      <c r="H603" s="824"/>
      <c r="I603" s="824"/>
      <c r="J603" s="824"/>
      <c r="K603" s="824"/>
      <c r="L603" s="824"/>
      <c r="M603" s="824"/>
      <c r="N603" s="824"/>
      <c r="O603" s="824"/>
      <c r="P603" s="824"/>
      <c r="Q603" s="824"/>
      <c r="R603" s="824"/>
      <c r="S603" s="824"/>
      <c r="T603" s="824"/>
      <c r="U603" s="824"/>
      <c r="V603" s="824"/>
      <c r="W603" s="824"/>
    </row>
    <row r="604" spans="2:23" hidden="1">
      <c r="B604" s="515"/>
      <c r="C604" s="516"/>
      <c r="D604" s="515"/>
      <c r="E604" s="824"/>
      <c r="F604" s="824"/>
      <c r="G604" s="824"/>
      <c r="H604" s="824"/>
      <c r="I604" s="824"/>
      <c r="J604" s="824"/>
      <c r="K604" s="824"/>
      <c r="L604" s="824"/>
      <c r="M604" s="824"/>
      <c r="N604" s="824"/>
      <c r="O604" s="824"/>
      <c r="P604" s="824"/>
      <c r="Q604" s="824"/>
      <c r="R604" s="824"/>
      <c r="S604" s="824"/>
      <c r="T604" s="824"/>
      <c r="U604" s="824"/>
      <c r="V604" s="824"/>
      <c r="W604" s="824"/>
    </row>
    <row r="605" spans="2:23" hidden="1">
      <c r="B605" s="515"/>
      <c r="C605" s="516"/>
      <c r="D605" s="515"/>
      <c r="E605" s="824"/>
      <c r="F605" s="824"/>
      <c r="G605" s="824"/>
      <c r="H605" s="824"/>
      <c r="I605" s="824"/>
      <c r="J605" s="824"/>
      <c r="K605" s="824"/>
      <c r="L605" s="824"/>
      <c r="M605" s="824"/>
      <c r="N605" s="824"/>
      <c r="O605" s="824"/>
      <c r="P605" s="824"/>
      <c r="Q605" s="824"/>
      <c r="R605" s="824"/>
      <c r="S605" s="824"/>
      <c r="T605" s="824"/>
      <c r="U605" s="824"/>
      <c r="V605" s="824"/>
      <c r="W605" s="824"/>
    </row>
    <row r="606" spans="2:23" hidden="1">
      <c r="B606" s="515"/>
      <c r="C606" s="516"/>
      <c r="D606" s="515"/>
      <c r="E606" s="824"/>
      <c r="F606" s="824"/>
      <c r="G606" s="824"/>
      <c r="H606" s="824"/>
      <c r="I606" s="824"/>
      <c r="J606" s="824"/>
      <c r="K606" s="824"/>
      <c r="L606" s="824"/>
      <c r="M606" s="824"/>
      <c r="N606" s="824"/>
      <c r="O606" s="824"/>
      <c r="P606" s="824"/>
      <c r="Q606" s="824"/>
      <c r="R606" s="824"/>
      <c r="S606" s="824"/>
      <c r="T606" s="824"/>
      <c r="U606" s="824"/>
      <c r="V606" s="824"/>
      <c r="W606" s="824"/>
    </row>
    <row r="607" spans="2:23" hidden="1">
      <c r="B607" s="515"/>
      <c r="C607" s="516"/>
      <c r="D607" s="515"/>
      <c r="E607" s="824"/>
      <c r="F607" s="824"/>
      <c r="G607" s="824"/>
      <c r="H607" s="824"/>
      <c r="I607" s="824"/>
      <c r="J607" s="824"/>
      <c r="K607" s="824"/>
      <c r="L607" s="824"/>
      <c r="M607" s="824"/>
      <c r="N607" s="824"/>
      <c r="O607" s="824"/>
      <c r="P607" s="824"/>
      <c r="Q607" s="824"/>
      <c r="R607" s="824"/>
      <c r="S607" s="824"/>
      <c r="T607" s="824"/>
      <c r="U607" s="824"/>
      <c r="V607" s="824"/>
      <c r="W607" s="824"/>
    </row>
    <row r="608" spans="2:23" hidden="1">
      <c r="B608" s="515"/>
      <c r="C608" s="516"/>
      <c r="D608" s="515"/>
      <c r="E608" s="824"/>
      <c r="F608" s="824"/>
      <c r="G608" s="824"/>
      <c r="H608" s="824"/>
      <c r="I608" s="824"/>
      <c r="J608" s="824"/>
      <c r="K608" s="824"/>
      <c r="L608" s="824"/>
      <c r="M608" s="824"/>
      <c r="N608" s="824"/>
      <c r="O608" s="824"/>
      <c r="P608" s="824"/>
      <c r="Q608" s="824"/>
      <c r="R608" s="824"/>
      <c r="S608" s="824"/>
      <c r="T608" s="824"/>
      <c r="U608" s="824"/>
      <c r="V608" s="824"/>
      <c r="W608" s="824"/>
    </row>
    <row r="609" spans="2:23" hidden="1">
      <c r="B609" s="515"/>
      <c r="C609" s="516"/>
      <c r="D609" s="515"/>
      <c r="E609" s="824"/>
      <c r="F609" s="824"/>
      <c r="G609" s="824"/>
      <c r="H609" s="824"/>
      <c r="I609" s="824"/>
      <c r="J609" s="824"/>
      <c r="K609" s="824"/>
      <c r="L609" s="824"/>
      <c r="M609" s="824"/>
      <c r="N609" s="824"/>
      <c r="O609" s="824"/>
      <c r="P609" s="824"/>
      <c r="Q609" s="824"/>
      <c r="R609" s="824"/>
      <c r="S609" s="824"/>
      <c r="T609" s="824"/>
      <c r="U609" s="824"/>
      <c r="V609" s="824"/>
      <c r="W609" s="824"/>
    </row>
    <row r="610" spans="2:23" hidden="1">
      <c r="B610" s="515"/>
      <c r="C610" s="516"/>
      <c r="D610" s="515"/>
      <c r="E610" s="824"/>
      <c r="F610" s="824"/>
      <c r="G610" s="824"/>
      <c r="H610" s="824"/>
      <c r="I610" s="824"/>
      <c r="J610" s="824"/>
      <c r="K610" s="824"/>
      <c r="L610" s="824"/>
      <c r="M610" s="824"/>
      <c r="N610" s="824"/>
      <c r="O610" s="824"/>
      <c r="P610" s="824"/>
      <c r="Q610" s="824"/>
      <c r="R610" s="824"/>
      <c r="S610" s="824"/>
      <c r="T610" s="824"/>
      <c r="U610" s="824"/>
      <c r="V610" s="824"/>
      <c r="W610" s="824"/>
    </row>
    <row r="611" spans="2:23" hidden="1">
      <c r="B611" s="515"/>
      <c r="C611" s="516"/>
      <c r="D611" s="515"/>
      <c r="E611" s="824"/>
      <c r="F611" s="824"/>
      <c r="G611" s="824"/>
      <c r="H611" s="824"/>
      <c r="I611" s="824"/>
      <c r="J611" s="824"/>
      <c r="K611" s="824"/>
      <c r="L611" s="824"/>
      <c r="M611" s="824"/>
      <c r="N611" s="824"/>
      <c r="O611" s="824"/>
      <c r="P611" s="824"/>
      <c r="Q611" s="824"/>
      <c r="R611" s="824"/>
      <c r="S611" s="824"/>
      <c r="T611" s="824"/>
      <c r="U611" s="824"/>
      <c r="V611" s="824"/>
      <c r="W611" s="824"/>
    </row>
    <row r="612" spans="2:23" hidden="1">
      <c r="B612" s="515"/>
      <c r="C612" s="516"/>
      <c r="D612" s="515"/>
      <c r="E612" s="824"/>
      <c r="F612" s="824"/>
      <c r="G612" s="824"/>
      <c r="H612" s="824"/>
      <c r="I612" s="824"/>
      <c r="J612" s="824"/>
      <c r="K612" s="824"/>
      <c r="L612" s="824"/>
      <c r="M612" s="824"/>
      <c r="N612" s="824"/>
      <c r="O612" s="824"/>
      <c r="P612" s="824"/>
      <c r="Q612" s="824"/>
      <c r="R612" s="824"/>
      <c r="S612" s="824"/>
      <c r="T612" s="824"/>
      <c r="U612" s="824"/>
      <c r="V612" s="824"/>
      <c r="W612" s="824"/>
    </row>
    <row r="613" spans="2:23" hidden="1">
      <c r="B613" s="515"/>
      <c r="C613" s="516"/>
      <c r="D613" s="515"/>
      <c r="E613" s="824"/>
      <c r="F613" s="824"/>
      <c r="G613" s="824"/>
      <c r="H613" s="824"/>
      <c r="I613" s="824"/>
      <c r="J613" s="824"/>
      <c r="K613" s="824"/>
      <c r="L613" s="824"/>
      <c r="M613" s="824"/>
      <c r="N613" s="824"/>
      <c r="O613" s="824"/>
      <c r="P613" s="824"/>
      <c r="Q613" s="824"/>
      <c r="R613" s="824"/>
      <c r="S613" s="824"/>
      <c r="T613" s="824"/>
      <c r="U613" s="824"/>
      <c r="V613" s="824"/>
      <c r="W613" s="824"/>
    </row>
    <row r="614" spans="2:23" hidden="1">
      <c r="B614" s="515"/>
      <c r="C614" s="516"/>
      <c r="D614" s="515"/>
      <c r="E614" s="824"/>
      <c r="F614" s="824"/>
      <c r="G614" s="824"/>
      <c r="H614" s="824"/>
      <c r="I614" s="824"/>
      <c r="J614" s="824"/>
      <c r="K614" s="824"/>
      <c r="L614" s="824"/>
      <c r="M614" s="824"/>
      <c r="N614" s="824"/>
      <c r="O614" s="824"/>
      <c r="P614" s="824"/>
      <c r="Q614" s="824"/>
      <c r="R614" s="824"/>
      <c r="S614" s="824"/>
      <c r="T614" s="824"/>
      <c r="U614" s="824"/>
      <c r="V614" s="824"/>
      <c r="W614" s="824"/>
    </row>
    <row r="615" spans="2:23" hidden="1">
      <c r="B615" s="515"/>
      <c r="C615" s="516"/>
      <c r="D615" s="515"/>
      <c r="E615" s="824"/>
      <c r="F615" s="824"/>
      <c r="G615" s="824"/>
      <c r="H615" s="824"/>
      <c r="I615" s="824"/>
      <c r="J615" s="824"/>
      <c r="K615" s="824"/>
      <c r="L615" s="824"/>
      <c r="M615" s="824"/>
      <c r="N615" s="824"/>
      <c r="O615" s="824"/>
      <c r="P615" s="824"/>
      <c r="Q615" s="824"/>
      <c r="R615" s="824"/>
      <c r="S615" s="824"/>
      <c r="T615" s="824"/>
      <c r="U615" s="824"/>
      <c r="V615" s="824"/>
      <c r="W615" s="824"/>
    </row>
    <row r="616" spans="2:23" hidden="1">
      <c r="B616" s="515"/>
      <c r="C616" s="516"/>
      <c r="D616" s="515"/>
      <c r="E616" s="824"/>
      <c r="F616" s="824"/>
      <c r="G616" s="824"/>
      <c r="H616" s="824"/>
      <c r="I616" s="824"/>
      <c r="J616" s="824"/>
      <c r="K616" s="824"/>
      <c r="L616" s="824"/>
      <c r="M616" s="824"/>
      <c r="N616" s="824"/>
      <c r="O616" s="824"/>
      <c r="P616" s="824"/>
      <c r="Q616" s="824"/>
      <c r="R616" s="824"/>
      <c r="S616" s="824"/>
      <c r="T616" s="824"/>
      <c r="U616" s="824"/>
      <c r="V616" s="824"/>
      <c r="W616" s="824"/>
    </row>
    <row r="617" spans="2:23" hidden="1">
      <c r="B617" s="515"/>
      <c r="C617" s="516"/>
      <c r="D617" s="515"/>
      <c r="E617" s="824"/>
      <c r="F617" s="824"/>
      <c r="G617" s="824"/>
      <c r="H617" s="824"/>
      <c r="I617" s="824"/>
      <c r="J617" s="824"/>
      <c r="K617" s="824"/>
      <c r="L617" s="824"/>
      <c r="M617" s="824"/>
      <c r="N617" s="824"/>
      <c r="O617" s="824"/>
      <c r="P617" s="824"/>
      <c r="Q617" s="824"/>
      <c r="R617" s="824"/>
      <c r="S617" s="824"/>
      <c r="T617" s="824"/>
      <c r="U617" s="824"/>
      <c r="V617" s="824"/>
      <c r="W617" s="824"/>
    </row>
    <row r="618" spans="2:23" hidden="1">
      <c r="B618" s="515"/>
      <c r="C618" s="516"/>
      <c r="D618" s="515"/>
      <c r="E618" s="824"/>
      <c r="F618" s="824"/>
      <c r="G618" s="824"/>
      <c r="H618" s="824"/>
      <c r="I618" s="824"/>
      <c r="J618" s="824"/>
      <c r="K618" s="824"/>
      <c r="L618" s="824"/>
      <c r="M618" s="824"/>
      <c r="N618" s="824"/>
      <c r="O618" s="824"/>
      <c r="P618" s="824"/>
      <c r="Q618" s="824"/>
      <c r="R618" s="824"/>
      <c r="S618" s="824"/>
      <c r="T618" s="824"/>
      <c r="U618" s="824"/>
      <c r="V618" s="824"/>
      <c r="W618" s="824"/>
    </row>
    <row r="619" spans="2:23" hidden="1">
      <c r="B619" s="515"/>
      <c r="C619" s="516"/>
      <c r="D619" s="515"/>
      <c r="E619" s="824"/>
      <c r="F619" s="824"/>
      <c r="G619" s="824"/>
      <c r="H619" s="824"/>
      <c r="I619" s="824"/>
      <c r="J619" s="824"/>
      <c r="K619" s="824"/>
      <c r="L619" s="824"/>
      <c r="M619" s="824"/>
      <c r="N619" s="824"/>
      <c r="O619" s="824"/>
      <c r="P619" s="824"/>
      <c r="Q619" s="824"/>
      <c r="R619" s="824"/>
      <c r="S619" s="824"/>
      <c r="T619" s="824"/>
      <c r="U619" s="824"/>
      <c r="V619" s="824"/>
      <c r="W619" s="824"/>
    </row>
    <row r="620" spans="2:23" hidden="1">
      <c r="B620" s="515"/>
      <c r="C620" s="516"/>
      <c r="D620" s="515"/>
      <c r="E620" s="824"/>
      <c r="F620" s="824"/>
      <c r="G620" s="824"/>
      <c r="H620" s="824"/>
      <c r="I620" s="824"/>
      <c r="J620" s="824"/>
      <c r="K620" s="824"/>
      <c r="L620" s="824"/>
      <c r="M620" s="824"/>
      <c r="N620" s="824"/>
      <c r="O620" s="824"/>
      <c r="P620" s="824"/>
      <c r="Q620" s="824"/>
      <c r="R620" s="824"/>
      <c r="S620" s="824"/>
      <c r="T620" s="824"/>
      <c r="U620" s="824"/>
      <c r="V620" s="824"/>
      <c r="W620" s="824"/>
    </row>
    <row r="621" spans="2:23" hidden="1">
      <c r="B621" s="515"/>
      <c r="C621" s="516"/>
      <c r="D621" s="515"/>
      <c r="E621" s="824"/>
      <c r="F621" s="824"/>
      <c r="G621" s="824"/>
      <c r="H621" s="824"/>
      <c r="I621" s="824"/>
      <c r="J621" s="824"/>
      <c r="K621" s="824"/>
      <c r="L621" s="824"/>
      <c r="M621" s="824"/>
      <c r="N621" s="824"/>
      <c r="O621" s="824"/>
      <c r="P621" s="824"/>
      <c r="Q621" s="824"/>
      <c r="R621" s="824"/>
      <c r="S621" s="824"/>
      <c r="T621" s="824"/>
      <c r="U621" s="824"/>
      <c r="V621" s="824"/>
      <c r="W621" s="824"/>
    </row>
    <row r="622" spans="2:23" hidden="1">
      <c r="B622" s="515"/>
      <c r="C622" s="516"/>
      <c r="D622" s="515"/>
      <c r="E622" s="824"/>
      <c r="F622" s="824"/>
      <c r="G622" s="824"/>
      <c r="H622" s="824"/>
      <c r="I622" s="824"/>
      <c r="J622" s="824"/>
      <c r="K622" s="824"/>
      <c r="L622" s="824"/>
      <c r="M622" s="824"/>
      <c r="N622" s="824"/>
      <c r="O622" s="824"/>
      <c r="P622" s="824"/>
      <c r="Q622" s="824"/>
      <c r="R622" s="824"/>
      <c r="S622" s="824"/>
      <c r="T622" s="824"/>
      <c r="U622" s="824"/>
      <c r="V622" s="824"/>
      <c r="W622" s="824"/>
    </row>
    <row r="623" spans="2:23" hidden="1">
      <c r="B623" s="515"/>
      <c r="C623" s="516"/>
      <c r="D623" s="515"/>
      <c r="E623" s="824"/>
      <c r="F623" s="824"/>
      <c r="G623" s="824"/>
      <c r="H623" s="824"/>
      <c r="I623" s="824"/>
      <c r="J623" s="824"/>
      <c r="K623" s="824"/>
      <c r="L623" s="824"/>
      <c r="M623" s="824"/>
      <c r="N623" s="824"/>
      <c r="O623" s="824"/>
      <c r="P623" s="824"/>
      <c r="Q623" s="824"/>
      <c r="R623" s="824"/>
      <c r="S623" s="824"/>
      <c r="T623" s="824"/>
      <c r="U623" s="824"/>
      <c r="V623" s="824"/>
      <c r="W623" s="824"/>
    </row>
    <row r="624" spans="2:23" hidden="1">
      <c r="B624" s="515"/>
      <c r="C624" s="516"/>
      <c r="D624" s="515"/>
      <c r="E624" s="824"/>
      <c r="F624" s="824"/>
      <c r="G624" s="824"/>
      <c r="H624" s="824"/>
      <c r="I624" s="824"/>
      <c r="J624" s="824"/>
      <c r="K624" s="824"/>
      <c r="L624" s="824"/>
      <c r="M624" s="824"/>
      <c r="N624" s="824"/>
      <c r="O624" s="824"/>
      <c r="P624" s="824"/>
      <c r="Q624" s="824"/>
      <c r="R624" s="824"/>
      <c r="S624" s="824"/>
      <c r="T624" s="824"/>
      <c r="U624" s="824"/>
      <c r="V624" s="824"/>
      <c r="W624" s="824"/>
    </row>
    <row r="625" spans="2:23" hidden="1">
      <c r="B625" s="515"/>
      <c r="C625" s="516"/>
      <c r="D625" s="515"/>
      <c r="E625" s="824"/>
      <c r="F625" s="824"/>
      <c r="G625" s="824"/>
      <c r="H625" s="824"/>
      <c r="I625" s="824"/>
      <c r="J625" s="824"/>
      <c r="K625" s="824"/>
      <c r="L625" s="824"/>
      <c r="M625" s="824"/>
      <c r="N625" s="824"/>
      <c r="O625" s="824"/>
      <c r="P625" s="824"/>
      <c r="Q625" s="824"/>
      <c r="R625" s="824"/>
      <c r="S625" s="824"/>
      <c r="T625" s="824"/>
      <c r="U625" s="824"/>
      <c r="V625" s="824"/>
      <c r="W625" s="824"/>
    </row>
    <row r="626" spans="2:23" hidden="1">
      <c r="B626" s="515"/>
      <c r="C626" s="516"/>
      <c r="D626" s="515"/>
      <c r="E626" s="824"/>
      <c r="F626" s="824"/>
      <c r="G626" s="824"/>
      <c r="H626" s="824"/>
      <c r="I626" s="824"/>
      <c r="J626" s="824"/>
      <c r="K626" s="824"/>
      <c r="L626" s="824"/>
      <c r="M626" s="824"/>
      <c r="N626" s="824"/>
      <c r="O626" s="824"/>
      <c r="P626" s="824"/>
      <c r="Q626" s="824"/>
      <c r="R626" s="824"/>
      <c r="S626" s="824"/>
      <c r="T626" s="824"/>
      <c r="U626" s="824"/>
      <c r="V626" s="824"/>
      <c r="W626" s="824"/>
    </row>
    <row r="627" spans="2:23" hidden="1">
      <c r="B627" s="515"/>
      <c r="C627" s="516"/>
      <c r="D627" s="515"/>
      <c r="E627" s="824"/>
      <c r="F627" s="824"/>
      <c r="G627" s="824"/>
      <c r="H627" s="824"/>
      <c r="I627" s="824"/>
      <c r="J627" s="824"/>
      <c r="K627" s="824"/>
      <c r="L627" s="824"/>
      <c r="M627" s="824"/>
      <c r="N627" s="824"/>
      <c r="O627" s="824"/>
      <c r="P627" s="824"/>
      <c r="Q627" s="824"/>
      <c r="R627" s="824"/>
      <c r="S627" s="824"/>
      <c r="T627" s="824"/>
      <c r="U627" s="824"/>
      <c r="V627" s="824"/>
      <c r="W627" s="824"/>
    </row>
    <row r="628" spans="2:23" hidden="1">
      <c r="B628" s="515"/>
      <c r="C628" s="516"/>
      <c r="D628" s="515"/>
      <c r="E628" s="824"/>
      <c r="F628" s="824"/>
      <c r="G628" s="824"/>
      <c r="H628" s="824"/>
      <c r="I628" s="824"/>
      <c r="J628" s="824"/>
      <c r="K628" s="824"/>
      <c r="L628" s="824"/>
      <c r="M628" s="824"/>
      <c r="N628" s="824"/>
      <c r="O628" s="824"/>
      <c r="P628" s="824"/>
      <c r="Q628" s="824"/>
      <c r="R628" s="824"/>
      <c r="S628" s="824"/>
      <c r="T628" s="824"/>
      <c r="U628" s="824"/>
      <c r="V628" s="824"/>
      <c r="W628" s="824"/>
    </row>
    <row r="629" spans="2:23" hidden="1">
      <c r="B629" s="515"/>
      <c r="C629" s="516"/>
      <c r="D629" s="515"/>
      <c r="E629" s="824"/>
      <c r="F629" s="824"/>
      <c r="G629" s="824"/>
      <c r="H629" s="824"/>
      <c r="I629" s="824"/>
      <c r="J629" s="824"/>
      <c r="K629" s="824"/>
      <c r="L629" s="824"/>
      <c r="M629" s="824"/>
      <c r="N629" s="824"/>
      <c r="O629" s="824"/>
      <c r="P629" s="824"/>
      <c r="Q629" s="824"/>
      <c r="R629" s="824"/>
      <c r="S629" s="824"/>
      <c r="T629" s="824"/>
      <c r="U629" s="824"/>
      <c r="V629" s="824"/>
      <c r="W629" s="824"/>
    </row>
    <row r="630" spans="2:23" hidden="1">
      <c r="B630" s="515"/>
      <c r="C630" s="516"/>
      <c r="D630" s="515"/>
      <c r="E630" s="824"/>
      <c r="F630" s="824"/>
      <c r="G630" s="824"/>
      <c r="H630" s="824"/>
      <c r="I630" s="824"/>
      <c r="J630" s="824"/>
      <c r="K630" s="824"/>
      <c r="L630" s="824"/>
      <c r="M630" s="824"/>
      <c r="N630" s="824"/>
      <c r="O630" s="824"/>
      <c r="P630" s="824"/>
      <c r="Q630" s="824"/>
      <c r="R630" s="824"/>
      <c r="S630" s="824"/>
      <c r="T630" s="824"/>
      <c r="U630" s="824"/>
      <c r="V630" s="824"/>
      <c r="W630" s="824"/>
    </row>
    <row r="631" spans="2:23" hidden="1">
      <c r="B631" s="515"/>
      <c r="C631" s="516"/>
      <c r="D631" s="515"/>
      <c r="E631" s="824"/>
      <c r="F631" s="824"/>
      <c r="G631" s="824"/>
      <c r="H631" s="824"/>
      <c r="I631" s="824"/>
      <c r="J631" s="824"/>
      <c r="K631" s="824"/>
      <c r="L631" s="824"/>
      <c r="M631" s="824"/>
      <c r="N631" s="824"/>
      <c r="O631" s="824"/>
      <c r="P631" s="824"/>
      <c r="Q631" s="824"/>
      <c r="R631" s="824"/>
      <c r="S631" s="824"/>
      <c r="T631" s="824"/>
      <c r="U631" s="824"/>
      <c r="V631" s="824"/>
      <c r="W631" s="824"/>
    </row>
    <row r="632" spans="2:23" hidden="1">
      <c r="B632" s="515"/>
      <c r="C632" s="516"/>
      <c r="D632" s="515"/>
      <c r="E632" s="824"/>
      <c r="F632" s="824"/>
      <c r="G632" s="824"/>
      <c r="H632" s="824"/>
      <c r="I632" s="824"/>
      <c r="J632" s="824"/>
      <c r="K632" s="824"/>
      <c r="L632" s="824"/>
      <c r="M632" s="824"/>
      <c r="N632" s="824"/>
      <c r="O632" s="824"/>
      <c r="P632" s="824"/>
      <c r="Q632" s="824"/>
      <c r="R632" s="824"/>
      <c r="S632" s="824"/>
      <c r="T632" s="824"/>
      <c r="U632" s="824"/>
      <c r="V632" s="824"/>
      <c r="W632" s="824"/>
    </row>
    <row r="633" spans="2:23" hidden="1">
      <c r="B633" s="515"/>
      <c r="C633" s="516"/>
      <c r="D633" s="515"/>
      <c r="E633" s="824"/>
      <c r="F633" s="824"/>
      <c r="G633" s="824"/>
      <c r="H633" s="824"/>
      <c r="I633" s="824"/>
      <c r="J633" s="824"/>
      <c r="K633" s="824"/>
      <c r="L633" s="824"/>
      <c r="M633" s="824"/>
      <c r="N633" s="824"/>
      <c r="O633" s="824"/>
      <c r="P633" s="824"/>
      <c r="Q633" s="824"/>
      <c r="R633" s="824"/>
      <c r="S633" s="824"/>
      <c r="T633" s="824"/>
      <c r="U633" s="824"/>
      <c r="V633" s="824"/>
      <c r="W633" s="824"/>
    </row>
    <row r="634" spans="2:23" hidden="1">
      <c r="B634" s="515"/>
      <c r="C634" s="516"/>
      <c r="D634" s="515"/>
      <c r="E634" s="824"/>
      <c r="F634" s="824"/>
      <c r="G634" s="824"/>
      <c r="H634" s="824"/>
      <c r="I634" s="824"/>
      <c r="J634" s="824"/>
      <c r="K634" s="824"/>
      <c r="L634" s="824"/>
      <c r="M634" s="824"/>
      <c r="N634" s="824"/>
      <c r="O634" s="824"/>
      <c r="P634" s="824"/>
      <c r="Q634" s="824"/>
      <c r="R634" s="824"/>
      <c r="S634" s="824"/>
      <c r="T634" s="824"/>
      <c r="U634" s="824"/>
      <c r="V634" s="824"/>
      <c r="W634" s="824"/>
    </row>
    <row r="635" spans="2:23" hidden="1">
      <c r="B635" s="515"/>
      <c r="C635" s="516"/>
      <c r="D635" s="515"/>
      <c r="E635" s="824"/>
      <c r="F635" s="824"/>
      <c r="G635" s="824"/>
      <c r="H635" s="824"/>
      <c r="I635" s="824"/>
      <c r="J635" s="824"/>
      <c r="K635" s="824"/>
      <c r="L635" s="824"/>
      <c r="M635" s="824"/>
      <c r="N635" s="824"/>
      <c r="O635" s="824"/>
      <c r="P635" s="824"/>
      <c r="Q635" s="824"/>
      <c r="R635" s="824"/>
      <c r="S635" s="824"/>
      <c r="T635" s="824"/>
      <c r="U635" s="824"/>
      <c r="V635" s="824"/>
      <c r="W635" s="824"/>
    </row>
    <row r="636" spans="2:23" hidden="1">
      <c r="B636" s="515"/>
      <c r="C636" s="516"/>
      <c r="D636" s="515"/>
      <c r="E636" s="824"/>
      <c r="F636" s="824"/>
      <c r="G636" s="824"/>
      <c r="H636" s="824"/>
      <c r="I636" s="824"/>
      <c r="J636" s="824"/>
      <c r="K636" s="824"/>
      <c r="L636" s="824"/>
      <c r="M636" s="824"/>
      <c r="N636" s="824"/>
      <c r="O636" s="824"/>
      <c r="P636" s="824"/>
      <c r="Q636" s="824"/>
      <c r="R636" s="824"/>
      <c r="S636" s="824"/>
      <c r="T636" s="824"/>
      <c r="U636" s="824"/>
      <c r="V636" s="824"/>
      <c r="W636" s="824"/>
    </row>
    <row r="637" spans="2:23" hidden="1">
      <c r="B637" s="515"/>
      <c r="C637" s="516"/>
      <c r="D637" s="515"/>
      <c r="E637" s="824"/>
      <c r="F637" s="824"/>
      <c r="G637" s="824"/>
      <c r="H637" s="824"/>
      <c r="I637" s="824"/>
      <c r="J637" s="824"/>
      <c r="K637" s="824"/>
      <c r="L637" s="824"/>
      <c r="M637" s="824"/>
      <c r="N637" s="824"/>
      <c r="O637" s="824"/>
      <c r="P637" s="824"/>
      <c r="Q637" s="824"/>
      <c r="R637" s="824"/>
      <c r="S637" s="824"/>
      <c r="T637" s="824"/>
      <c r="U637" s="824"/>
      <c r="V637" s="824"/>
      <c r="W637" s="824"/>
    </row>
    <row r="638" spans="2:23" hidden="1">
      <c r="B638" s="515"/>
      <c r="C638" s="516"/>
      <c r="D638" s="515"/>
      <c r="E638" s="824"/>
      <c r="F638" s="824"/>
      <c r="G638" s="824"/>
      <c r="H638" s="824"/>
      <c r="I638" s="824"/>
      <c r="J638" s="824"/>
      <c r="K638" s="824"/>
      <c r="L638" s="824"/>
      <c r="M638" s="824"/>
      <c r="N638" s="824"/>
      <c r="O638" s="824"/>
      <c r="P638" s="824"/>
      <c r="Q638" s="824"/>
      <c r="R638" s="824"/>
      <c r="S638" s="824"/>
      <c r="T638" s="824"/>
      <c r="U638" s="824"/>
      <c r="V638" s="824"/>
      <c r="W638" s="824"/>
    </row>
    <row r="639" spans="2:23" hidden="1">
      <c r="B639" s="515"/>
      <c r="C639" s="516"/>
      <c r="D639" s="515"/>
      <c r="E639" s="824"/>
      <c r="F639" s="824"/>
      <c r="G639" s="824"/>
      <c r="H639" s="824"/>
      <c r="I639" s="824"/>
      <c r="J639" s="824"/>
      <c r="K639" s="824"/>
      <c r="L639" s="824"/>
      <c r="M639" s="824"/>
      <c r="N639" s="824"/>
      <c r="O639" s="824"/>
      <c r="P639" s="824"/>
      <c r="Q639" s="824"/>
      <c r="R639" s="824"/>
      <c r="S639" s="824"/>
      <c r="T639" s="824"/>
      <c r="U639" s="824"/>
      <c r="V639" s="824"/>
      <c r="W639" s="824"/>
    </row>
    <row r="640" spans="2:23" hidden="1">
      <c r="B640" s="515"/>
      <c r="C640" s="516"/>
      <c r="D640" s="515"/>
      <c r="E640" s="824"/>
      <c r="F640" s="824"/>
      <c r="G640" s="824"/>
      <c r="H640" s="824"/>
      <c r="I640" s="824"/>
      <c r="J640" s="824"/>
      <c r="K640" s="824"/>
      <c r="L640" s="824"/>
      <c r="M640" s="824"/>
      <c r="N640" s="824"/>
      <c r="O640" s="824"/>
      <c r="P640" s="824"/>
      <c r="Q640" s="824"/>
      <c r="R640" s="824"/>
      <c r="S640" s="824"/>
      <c r="T640" s="824"/>
      <c r="U640" s="824"/>
      <c r="V640" s="824"/>
      <c r="W640" s="824"/>
    </row>
    <row r="641" spans="2:23" hidden="1">
      <c r="B641" s="515"/>
      <c r="C641" s="516"/>
      <c r="D641" s="515"/>
      <c r="E641" s="824"/>
      <c r="F641" s="824"/>
      <c r="G641" s="824"/>
      <c r="H641" s="824"/>
      <c r="I641" s="824"/>
      <c r="J641" s="824"/>
      <c r="K641" s="824"/>
      <c r="L641" s="824"/>
      <c r="M641" s="824"/>
      <c r="N641" s="824"/>
      <c r="O641" s="824"/>
      <c r="P641" s="824"/>
      <c r="Q641" s="824"/>
      <c r="R641" s="824"/>
      <c r="S641" s="824"/>
      <c r="T641" s="824"/>
      <c r="U641" s="824"/>
      <c r="V641" s="824"/>
      <c r="W641" s="824"/>
    </row>
    <row r="642" spans="2:23" hidden="1">
      <c r="B642" s="515"/>
      <c r="C642" s="516"/>
      <c r="D642" s="515"/>
      <c r="E642" s="824"/>
      <c r="F642" s="824"/>
      <c r="G642" s="824"/>
      <c r="H642" s="824"/>
      <c r="I642" s="824"/>
      <c r="J642" s="824"/>
      <c r="K642" s="824"/>
      <c r="L642" s="824"/>
      <c r="M642" s="824"/>
      <c r="N642" s="824"/>
      <c r="O642" s="824"/>
      <c r="P642" s="824"/>
      <c r="Q642" s="824"/>
      <c r="R642" s="824"/>
      <c r="S642" s="824"/>
      <c r="T642" s="824"/>
      <c r="U642" s="824"/>
      <c r="V642" s="824"/>
      <c r="W642" s="824"/>
    </row>
    <row r="643" spans="2:23" hidden="1">
      <c r="B643" s="515"/>
      <c r="C643" s="516"/>
      <c r="D643" s="515"/>
      <c r="E643" s="824"/>
      <c r="F643" s="824"/>
      <c r="G643" s="824"/>
      <c r="H643" s="824"/>
      <c r="I643" s="824"/>
      <c r="J643" s="824"/>
      <c r="K643" s="824"/>
      <c r="L643" s="824"/>
      <c r="M643" s="824"/>
      <c r="N643" s="824"/>
      <c r="O643" s="824"/>
      <c r="P643" s="824"/>
      <c r="Q643" s="824"/>
      <c r="R643" s="824"/>
      <c r="S643" s="824"/>
      <c r="T643" s="824"/>
      <c r="U643" s="824"/>
      <c r="V643" s="824"/>
      <c r="W643" s="824"/>
    </row>
    <row r="644" spans="2:23" hidden="1">
      <c r="B644" s="515"/>
      <c r="C644" s="516"/>
      <c r="D644" s="515"/>
      <c r="E644" s="824"/>
      <c r="F644" s="824"/>
      <c r="G644" s="824"/>
      <c r="H644" s="824"/>
      <c r="I644" s="824"/>
      <c r="J644" s="824"/>
      <c r="K644" s="824"/>
      <c r="L644" s="824"/>
      <c r="M644" s="824"/>
      <c r="N644" s="824"/>
      <c r="O644" s="824"/>
      <c r="P644" s="824"/>
      <c r="Q644" s="824"/>
      <c r="R644" s="824"/>
      <c r="S644" s="824"/>
      <c r="T644" s="824"/>
      <c r="U644" s="824"/>
      <c r="V644" s="824"/>
      <c r="W644" s="824"/>
    </row>
    <row r="645" spans="2:23" hidden="1">
      <c r="B645" s="515"/>
      <c r="C645" s="516"/>
      <c r="D645" s="515"/>
      <c r="E645" s="824"/>
      <c r="F645" s="824"/>
      <c r="G645" s="824"/>
      <c r="H645" s="824"/>
      <c r="I645" s="824"/>
      <c r="J645" s="824"/>
      <c r="K645" s="824"/>
      <c r="L645" s="824"/>
      <c r="M645" s="824"/>
      <c r="N645" s="824"/>
      <c r="O645" s="824"/>
      <c r="P645" s="824"/>
      <c r="Q645" s="824"/>
      <c r="R645" s="824"/>
      <c r="S645" s="824"/>
      <c r="T645" s="824"/>
      <c r="U645" s="824"/>
      <c r="V645" s="824"/>
      <c r="W645" s="824"/>
    </row>
    <row r="646" spans="2:23" hidden="1">
      <c r="B646" s="515"/>
      <c r="C646" s="516"/>
      <c r="D646" s="515"/>
      <c r="E646" s="824"/>
      <c r="F646" s="824"/>
      <c r="G646" s="824"/>
      <c r="H646" s="824"/>
      <c r="I646" s="824"/>
      <c r="J646" s="824"/>
      <c r="K646" s="824"/>
      <c r="L646" s="824"/>
      <c r="M646" s="824"/>
      <c r="N646" s="824"/>
      <c r="O646" s="824"/>
      <c r="P646" s="824"/>
      <c r="Q646" s="824"/>
      <c r="R646" s="824"/>
      <c r="S646" s="824"/>
      <c r="T646" s="824"/>
      <c r="U646" s="824"/>
      <c r="V646" s="824"/>
      <c r="W646" s="824"/>
    </row>
    <row r="647" spans="2:23" hidden="1">
      <c r="B647" s="515"/>
      <c r="C647" s="516"/>
      <c r="D647" s="515"/>
      <c r="E647" s="824"/>
      <c r="F647" s="824"/>
      <c r="G647" s="824"/>
      <c r="H647" s="824"/>
      <c r="I647" s="824"/>
      <c r="J647" s="824"/>
      <c r="K647" s="824"/>
      <c r="L647" s="824"/>
      <c r="M647" s="824"/>
      <c r="N647" s="824"/>
      <c r="O647" s="824"/>
      <c r="P647" s="824"/>
      <c r="Q647" s="824"/>
      <c r="R647" s="824"/>
      <c r="S647" s="824"/>
      <c r="T647" s="824"/>
      <c r="U647" s="824"/>
      <c r="V647" s="824"/>
      <c r="W647" s="824"/>
    </row>
    <row r="648" spans="2:23" hidden="1">
      <c r="B648" s="515"/>
      <c r="C648" s="516"/>
      <c r="D648" s="515"/>
      <c r="E648" s="824"/>
      <c r="F648" s="824"/>
      <c r="G648" s="824"/>
      <c r="H648" s="824"/>
      <c r="I648" s="824"/>
      <c r="J648" s="824"/>
      <c r="K648" s="824"/>
      <c r="L648" s="824"/>
      <c r="M648" s="824"/>
      <c r="N648" s="824"/>
      <c r="O648" s="824"/>
      <c r="P648" s="824"/>
      <c r="Q648" s="824"/>
      <c r="R648" s="824"/>
      <c r="S648" s="824"/>
      <c r="T648" s="824"/>
      <c r="U648" s="824"/>
      <c r="V648" s="824"/>
      <c r="W648" s="824"/>
    </row>
    <row r="649" spans="2:23" hidden="1">
      <c r="B649" s="515"/>
      <c r="C649" s="516"/>
      <c r="D649" s="515"/>
      <c r="E649" s="824"/>
      <c r="F649" s="824"/>
      <c r="G649" s="824"/>
      <c r="H649" s="824"/>
      <c r="I649" s="824"/>
      <c r="J649" s="824"/>
      <c r="K649" s="824"/>
      <c r="L649" s="824"/>
      <c r="M649" s="824"/>
      <c r="N649" s="824"/>
      <c r="O649" s="824"/>
      <c r="P649" s="824"/>
      <c r="Q649" s="824"/>
      <c r="R649" s="824"/>
      <c r="S649" s="824"/>
      <c r="T649" s="824"/>
      <c r="U649" s="824"/>
      <c r="V649" s="824"/>
      <c r="W649" s="824"/>
    </row>
    <row r="650" spans="2:23" hidden="1">
      <c r="B650" s="515"/>
      <c r="C650" s="516"/>
      <c r="D650" s="515"/>
      <c r="E650" s="824"/>
      <c r="F650" s="824"/>
      <c r="G650" s="824"/>
      <c r="H650" s="824"/>
      <c r="I650" s="824"/>
      <c r="J650" s="824"/>
      <c r="K650" s="824"/>
      <c r="L650" s="824"/>
      <c r="M650" s="824"/>
      <c r="N650" s="824"/>
      <c r="O650" s="824"/>
      <c r="P650" s="824"/>
      <c r="Q650" s="824"/>
      <c r="R650" s="824"/>
      <c r="S650" s="824"/>
      <c r="T650" s="824"/>
      <c r="U650" s="824"/>
      <c r="V650" s="824"/>
      <c r="W650" s="824"/>
    </row>
    <row r="651" spans="2:23" hidden="1">
      <c r="B651" s="515"/>
      <c r="C651" s="516"/>
      <c r="D651" s="515"/>
      <c r="E651" s="824"/>
      <c r="F651" s="824"/>
      <c r="G651" s="824"/>
      <c r="H651" s="824"/>
      <c r="I651" s="824"/>
      <c r="J651" s="824"/>
      <c r="K651" s="824"/>
      <c r="L651" s="824"/>
      <c r="M651" s="824"/>
      <c r="N651" s="824"/>
      <c r="O651" s="824"/>
      <c r="P651" s="824"/>
      <c r="Q651" s="824"/>
      <c r="R651" s="824"/>
      <c r="S651" s="824"/>
      <c r="T651" s="824"/>
      <c r="U651" s="824"/>
      <c r="V651" s="824"/>
      <c r="W651" s="824"/>
    </row>
    <row r="652" spans="2:23" hidden="1">
      <c r="B652" s="515"/>
      <c r="C652" s="516"/>
      <c r="D652" s="515"/>
      <c r="E652" s="824"/>
      <c r="F652" s="824"/>
      <c r="G652" s="824"/>
      <c r="H652" s="824"/>
      <c r="I652" s="824"/>
      <c r="J652" s="824"/>
      <c r="K652" s="824"/>
      <c r="L652" s="824"/>
      <c r="M652" s="824"/>
      <c r="N652" s="824"/>
      <c r="O652" s="824"/>
      <c r="P652" s="824"/>
      <c r="Q652" s="824"/>
      <c r="R652" s="824"/>
      <c r="S652" s="824"/>
      <c r="T652" s="824"/>
      <c r="U652" s="824"/>
      <c r="V652" s="824"/>
      <c r="W652" s="824"/>
    </row>
    <row r="653" spans="2:23" hidden="1">
      <c r="B653" s="515"/>
      <c r="C653" s="516"/>
      <c r="D653" s="515"/>
      <c r="E653" s="824"/>
      <c r="F653" s="824"/>
      <c r="G653" s="824"/>
      <c r="H653" s="824"/>
      <c r="I653" s="824"/>
      <c r="J653" s="824"/>
      <c r="K653" s="824"/>
      <c r="L653" s="824"/>
      <c r="M653" s="824"/>
      <c r="N653" s="824"/>
      <c r="O653" s="824"/>
      <c r="P653" s="824"/>
      <c r="Q653" s="824"/>
      <c r="R653" s="824"/>
      <c r="S653" s="824"/>
      <c r="T653" s="824"/>
      <c r="U653" s="824"/>
      <c r="V653" s="824"/>
      <c r="W653" s="824"/>
    </row>
    <row r="654" spans="2:23" hidden="1">
      <c r="B654" s="515"/>
      <c r="C654" s="516"/>
      <c r="D654" s="515"/>
      <c r="E654" s="824"/>
      <c r="F654" s="824"/>
      <c r="G654" s="824"/>
      <c r="H654" s="824"/>
      <c r="I654" s="824"/>
      <c r="J654" s="824"/>
      <c r="K654" s="824"/>
      <c r="L654" s="824"/>
      <c r="M654" s="824"/>
      <c r="N654" s="824"/>
      <c r="O654" s="824"/>
      <c r="P654" s="824"/>
      <c r="Q654" s="824"/>
      <c r="R654" s="824"/>
      <c r="S654" s="824"/>
      <c r="T654" s="824"/>
      <c r="U654" s="824"/>
      <c r="V654" s="824"/>
      <c r="W654" s="824"/>
    </row>
    <row r="655" spans="2:23" hidden="1">
      <c r="B655" s="515"/>
      <c r="C655" s="516"/>
      <c r="D655" s="515"/>
      <c r="E655" s="824"/>
      <c r="F655" s="824"/>
      <c r="G655" s="824"/>
      <c r="H655" s="824"/>
      <c r="I655" s="824"/>
      <c r="J655" s="824"/>
      <c r="K655" s="824"/>
      <c r="L655" s="824"/>
      <c r="M655" s="824"/>
      <c r="N655" s="824"/>
      <c r="O655" s="824"/>
      <c r="P655" s="824"/>
      <c r="Q655" s="824"/>
      <c r="R655" s="824"/>
      <c r="S655" s="824"/>
      <c r="T655" s="824"/>
      <c r="U655" s="824"/>
      <c r="V655" s="824"/>
      <c r="W655" s="824"/>
    </row>
    <row r="656" spans="2:23" hidden="1">
      <c r="B656" s="515"/>
      <c r="C656" s="516"/>
      <c r="D656" s="515"/>
      <c r="E656" s="824"/>
      <c r="F656" s="824"/>
      <c r="G656" s="824"/>
      <c r="H656" s="824"/>
      <c r="I656" s="824"/>
      <c r="J656" s="824"/>
      <c r="K656" s="824"/>
      <c r="L656" s="824"/>
      <c r="M656" s="824"/>
      <c r="N656" s="824"/>
      <c r="O656" s="824"/>
      <c r="P656" s="824"/>
      <c r="Q656" s="824"/>
      <c r="R656" s="824"/>
      <c r="S656" s="824"/>
      <c r="T656" s="824"/>
      <c r="U656" s="824"/>
      <c r="V656" s="824"/>
      <c r="W656" s="824"/>
    </row>
    <row r="657" spans="2:23" hidden="1">
      <c r="B657" s="515"/>
      <c r="C657" s="516"/>
      <c r="D657" s="515"/>
      <c r="E657" s="824"/>
      <c r="F657" s="824"/>
      <c r="G657" s="824"/>
      <c r="H657" s="824"/>
      <c r="I657" s="824"/>
      <c r="J657" s="824"/>
      <c r="K657" s="824"/>
      <c r="L657" s="824"/>
      <c r="M657" s="824"/>
      <c r="N657" s="824"/>
      <c r="O657" s="824"/>
      <c r="P657" s="824"/>
      <c r="Q657" s="824"/>
      <c r="R657" s="824"/>
      <c r="S657" s="824"/>
      <c r="T657" s="824"/>
      <c r="U657" s="824"/>
      <c r="V657" s="824"/>
      <c r="W657" s="824"/>
    </row>
    <row r="658" spans="2:23" hidden="1">
      <c r="B658" s="515"/>
      <c r="C658" s="516"/>
      <c r="D658" s="515"/>
      <c r="E658" s="824"/>
      <c r="F658" s="824"/>
      <c r="G658" s="824"/>
      <c r="H658" s="824"/>
      <c r="I658" s="824"/>
      <c r="J658" s="824"/>
      <c r="K658" s="824"/>
      <c r="L658" s="824"/>
      <c r="M658" s="824"/>
      <c r="N658" s="824"/>
      <c r="O658" s="824"/>
      <c r="P658" s="824"/>
      <c r="Q658" s="824"/>
      <c r="R658" s="824"/>
      <c r="S658" s="824"/>
      <c r="T658" s="824"/>
      <c r="U658" s="824"/>
      <c r="V658" s="824"/>
      <c r="W658" s="824"/>
    </row>
    <row r="659" spans="2:23" hidden="1">
      <c r="B659" s="515"/>
      <c r="C659" s="516"/>
      <c r="D659" s="515"/>
      <c r="E659" s="824"/>
      <c r="F659" s="824"/>
      <c r="G659" s="824"/>
      <c r="H659" s="824"/>
      <c r="I659" s="824"/>
      <c r="J659" s="824"/>
      <c r="K659" s="824"/>
      <c r="L659" s="824"/>
      <c r="M659" s="824"/>
      <c r="N659" s="824"/>
      <c r="O659" s="824"/>
      <c r="P659" s="824"/>
      <c r="Q659" s="824"/>
      <c r="R659" s="824"/>
      <c r="S659" s="824"/>
      <c r="T659" s="824"/>
      <c r="U659" s="824"/>
      <c r="V659" s="824"/>
      <c r="W659" s="824"/>
    </row>
    <row r="660" spans="2:23" hidden="1">
      <c r="B660" s="515"/>
      <c r="C660" s="516"/>
      <c r="D660" s="515"/>
      <c r="E660" s="824"/>
      <c r="F660" s="824"/>
      <c r="G660" s="824"/>
      <c r="H660" s="824"/>
      <c r="I660" s="824"/>
      <c r="J660" s="824"/>
      <c r="K660" s="824"/>
      <c r="L660" s="824"/>
      <c r="M660" s="824"/>
      <c r="N660" s="824"/>
      <c r="O660" s="824"/>
      <c r="P660" s="824"/>
      <c r="Q660" s="824"/>
      <c r="R660" s="824"/>
      <c r="S660" s="824"/>
      <c r="T660" s="824"/>
      <c r="U660" s="824"/>
      <c r="V660" s="824"/>
      <c r="W660" s="824"/>
    </row>
    <row r="661" spans="2:23" hidden="1">
      <c r="B661" s="515"/>
      <c r="C661" s="516"/>
      <c r="D661" s="515"/>
      <c r="E661" s="824"/>
      <c r="F661" s="824"/>
      <c r="G661" s="824"/>
      <c r="H661" s="824"/>
      <c r="I661" s="824"/>
      <c r="J661" s="824"/>
      <c r="K661" s="824"/>
      <c r="L661" s="824"/>
      <c r="M661" s="824"/>
      <c r="N661" s="824"/>
      <c r="O661" s="824"/>
      <c r="P661" s="824"/>
      <c r="Q661" s="824"/>
      <c r="R661" s="824"/>
      <c r="S661" s="824"/>
      <c r="T661" s="824"/>
      <c r="U661" s="824"/>
      <c r="V661" s="824"/>
      <c r="W661" s="824"/>
    </row>
    <row r="662" spans="2:23" hidden="1">
      <c r="B662" s="515"/>
      <c r="C662" s="516"/>
      <c r="D662" s="515"/>
      <c r="E662" s="824"/>
      <c r="F662" s="824"/>
      <c r="G662" s="824"/>
      <c r="H662" s="824"/>
      <c r="I662" s="824"/>
      <c r="J662" s="824"/>
      <c r="K662" s="824"/>
      <c r="L662" s="824"/>
      <c r="M662" s="824"/>
      <c r="N662" s="824"/>
      <c r="O662" s="824"/>
      <c r="P662" s="824"/>
      <c r="Q662" s="824"/>
      <c r="R662" s="824"/>
      <c r="S662" s="824"/>
      <c r="T662" s="824"/>
      <c r="U662" s="824"/>
      <c r="V662" s="824"/>
      <c r="W662" s="824"/>
    </row>
    <row r="663" spans="2:23" hidden="1">
      <c r="B663" s="515"/>
      <c r="C663" s="516"/>
      <c r="D663" s="515"/>
      <c r="E663" s="824"/>
      <c r="F663" s="824"/>
      <c r="G663" s="824"/>
      <c r="H663" s="824"/>
      <c r="I663" s="824"/>
      <c r="J663" s="824"/>
      <c r="K663" s="824"/>
      <c r="L663" s="824"/>
      <c r="M663" s="824"/>
      <c r="N663" s="824"/>
      <c r="O663" s="824"/>
      <c r="P663" s="824"/>
      <c r="Q663" s="824"/>
      <c r="R663" s="824"/>
      <c r="S663" s="824"/>
      <c r="T663" s="824"/>
      <c r="U663" s="824"/>
      <c r="V663" s="824"/>
      <c r="W663" s="824"/>
    </row>
    <row r="664" spans="2:23" hidden="1">
      <c r="B664" s="515"/>
      <c r="C664" s="516"/>
      <c r="D664" s="515"/>
      <c r="E664" s="824"/>
      <c r="F664" s="824"/>
      <c r="G664" s="824"/>
      <c r="H664" s="824"/>
      <c r="I664" s="824"/>
      <c r="J664" s="824"/>
      <c r="K664" s="824"/>
      <c r="L664" s="824"/>
      <c r="M664" s="824"/>
      <c r="N664" s="824"/>
      <c r="O664" s="824"/>
      <c r="P664" s="824"/>
      <c r="Q664" s="824"/>
      <c r="R664" s="824"/>
      <c r="S664" s="824"/>
      <c r="T664" s="824"/>
      <c r="U664" s="824"/>
      <c r="V664" s="824"/>
      <c r="W664" s="824"/>
    </row>
    <row r="665" spans="2:23" hidden="1">
      <c r="B665" s="515"/>
      <c r="C665" s="516"/>
      <c r="D665" s="515"/>
      <c r="E665" s="824"/>
      <c r="F665" s="824"/>
      <c r="G665" s="824"/>
      <c r="H665" s="824"/>
      <c r="I665" s="824"/>
      <c r="J665" s="824"/>
      <c r="K665" s="824"/>
      <c r="L665" s="824"/>
      <c r="M665" s="824"/>
      <c r="N665" s="824"/>
      <c r="O665" s="824"/>
      <c r="P665" s="824"/>
      <c r="Q665" s="824"/>
      <c r="R665" s="824"/>
      <c r="S665" s="824"/>
      <c r="T665" s="824"/>
      <c r="U665" s="824"/>
      <c r="V665" s="824"/>
      <c r="W665" s="824"/>
    </row>
    <row r="666" spans="2:23" hidden="1">
      <c r="B666" s="515"/>
      <c r="C666" s="516"/>
      <c r="D666" s="515"/>
      <c r="E666" s="824"/>
      <c r="F666" s="824"/>
      <c r="G666" s="824"/>
      <c r="H666" s="824"/>
      <c r="I666" s="824"/>
      <c r="J666" s="824"/>
      <c r="K666" s="824"/>
      <c r="L666" s="824"/>
      <c r="M666" s="824"/>
      <c r="N666" s="824"/>
      <c r="O666" s="824"/>
      <c r="P666" s="824"/>
      <c r="Q666" s="824"/>
      <c r="R666" s="824"/>
      <c r="S666" s="824"/>
      <c r="T666" s="824"/>
      <c r="U666" s="824"/>
      <c r="V666" s="824"/>
      <c r="W666" s="824"/>
    </row>
    <row r="667" spans="2:23" hidden="1">
      <c r="B667" s="515"/>
      <c r="C667" s="516"/>
      <c r="D667" s="515"/>
      <c r="E667" s="824"/>
      <c r="F667" s="824"/>
      <c r="G667" s="824"/>
      <c r="H667" s="824"/>
      <c r="I667" s="824"/>
      <c r="J667" s="824"/>
      <c r="K667" s="824"/>
      <c r="L667" s="824"/>
      <c r="M667" s="824"/>
      <c r="N667" s="824"/>
      <c r="O667" s="824"/>
      <c r="P667" s="824"/>
      <c r="Q667" s="824"/>
      <c r="R667" s="824"/>
      <c r="S667" s="824"/>
      <c r="T667" s="824"/>
      <c r="U667" s="824"/>
      <c r="V667" s="824"/>
      <c r="W667" s="824"/>
    </row>
    <row r="668" spans="2:23" hidden="1">
      <c r="B668" s="515"/>
      <c r="C668" s="516"/>
      <c r="D668" s="515"/>
      <c r="E668" s="824"/>
      <c r="F668" s="824"/>
      <c r="G668" s="824"/>
      <c r="H668" s="824"/>
      <c r="I668" s="824"/>
      <c r="J668" s="824"/>
      <c r="K668" s="824"/>
      <c r="L668" s="824"/>
      <c r="M668" s="824"/>
      <c r="N668" s="824"/>
      <c r="O668" s="824"/>
      <c r="P668" s="824"/>
      <c r="Q668" s="824"/>
      <c r="R668" s="824"/>
      <c r="S668" s="824"/>
      <c r="T668" s="824"/>
      <c r="U668" s="824"/>
      <c r="V668" s="824"/>
      <c r="W668" s="824"/>
    </row>
    <row r="669" spans="2:23" hidden="1">
      <c r="B669" s="515"/>
      <c r="C669" s="516"/>
      <c r="D669" s="515"/>
      <c r="E669" s="824"/>
      <c r="F669" s="824"/>
      <c r="G669" s="824"/>
      <c r="H669" s="824"/>
      <c r="I669" s="824"/>
      <c r="J669" s="824"/>
      <c r="K669" s="824"/>
      <c r="L669" s="824"/>
      <c r="M669" s="824"/>
      <c r="N669" s="824"/>
      <c r="O669" s="824"/>
      <c r="P669" s="824"/>
      <c r="Q669" s="824"/>
      <c r="R669" s="824"/>
      <c r="S669" s="824"/>
      <c r="T669" s="824"/>
      <c r="U669" s="824"/>
      <c r="V669" s="824"/>
      <c r="W669" s="824"/>
    </row>
    <row r="670" spans="2:23" hidden="1">
      <c r="B670" s="515"/>
      <c r="C670" s="516"/>
      <c r="D670" s="515"/>
      <c r="E670" s="824"/>
      <c r="F670" s="824"/>
      <c r="G670" s="824"/>
      <c r="H670" s="824"/>
      <c r="I670" s="824"/>
      <c r="J670" s="824"/>
      <c r="K670" s="824"/>
      <c r="L670" s="824"/>
      <c r="M670" s="824"/>
      <c r="N670" s="824"/>
      <c r="O670" s="824"/>
      <c r="P670" s="824"/>
      <c r="Q670" s="824"/>
      <c r="R670" s="824"/>
      <c r="S670" s="824"/>
      <c r="T670" s="824"/>
      <c r="U670" s="824"/>
      <c r="V670" s="824"/>
      <c r="W670" s="824"/>
    </row>
    <row r="671" spans="2:23" hidden="1">
      <c r="B671" s="515"/>
      <c r="C671" s="516"/>
      <c r="D671" s="515"/>
      <c r="E671" s="824"/>
      <c r="F671" s="824"/>
      <c r="G671" s="824"/>
      <c r="H671" s="824"/>
      <c r="I671" s="824"/>
      <c r="J671" s="824"/>
      <c r="K671" s="824"/>
      <c r="L671" s="824"/>
      <c r="M671" s="824"/>
      <c r="N671" s="824"/>
      <c r="O671" s="824"/>
      <c r="P671" s="824"/>
      <c r="Q671" s="824"/>
      <c r="R671" s="824"/>
      <c r="S671" s="824"/>
      <c r="T671" s="824"/>
      <c r="U671" s="824"/>
      <c r="V671" s="824"/>
      <c r="W671" s="824"/>
    </row>
    <row r="672" spans="2:23" hidden="1">
      <c r="B672" s="515"/>
      <c r="C672" s="516"/>
      <c r="D672" s="515"/>
      <c r="E672" s="824"/>
      <c r="F672" s="824"/>
      <c r="G672" s="824"/>
      <c r="H672" s="824"/>
      <c r="I672" s="824"/>
      <c r="J672" s="824"/>
      <c r="K672" s="824"/>
      <c r="L672" s="824"/>
      <c r="M672" s="824"/>
      <c r="N672" s="824"/>
      <c r="O672" s="824"/>
      <c r="P672" s="824"/>
      <c r="Q672" s="824"/>
      <c r="R672" s="824"/>
      <c r="S672" s="824"/>
      <c r="T672" s="824"/>
      <c r="U672" s="824"/>
      <c r="V672" s="824"/>
      <c r="W672" s="824"/>
    </row>
    <row r="673" spans="2:23" hidden="1">
      <c r="B673" s="515"/>
      <c r="C673" s="516"/>
      <c r="D673" s="515"/>
      <c r="E673" s="824"/>
      <c r="F673" s="824"/>
      <c r="G673" s="824"/>
      <c r="H673" s="824"/>
      <c r="I673" s="824"/>
      <c r="J673" s="824"/>
      <c r="K673" s="824"/>
      <c r="L673" s="824"/>
      <c r="M673" s="824"/>
      <c r="N673" s="824"/>
      <c r="O673" s="824"/>
      <c r="P673" s="824"/>
      <c r="Q673" s="824"/>
      <c r="R673" s="824"/>
      <c r="S673" s="824"/>
      <c r="T673" s="824"/>
      <c r="U673" s="824"/>
      <c r="V673" s="824"/>
      <c r="W673" s="824"/>
    </row>
    <row r="674" spans="2:23" hidden="1">
      <c r="B674" s="515"/>
      <c r="C674" s="516"/>
      <c r="D674" s="515"/>
      <c r="E674" s="824"/>
      <c r="F674" s="824"/>
      <c r="G674" s="824"/>
      <c r="H674" s="824"/>
      <c r="I674" s="824"/>
      <c r="J674" s="824"/>
      <c r="K674" s="824"/>
      <c r="L674" s="824"/>
      <c r="M674" s="824"/>
      <c r="N674" s="824"/>
      <c r="O674" s="824"/>
      <c r="P674" s="824"/>
      <c r="Q674" s="824"/>
      <c r="R674" s="824"/>
      <c r="S674" s="824"/>
      <c r="T674" s="824"/>
      <c r="U674" s="824"/>
      <c r="V674" s="824"/>
      <c r="W674" s="824"/>
    </row>
    <row r="675" spans="2:23" hidden="1">
      <c r="B675" s="515"/>
      <c r="C675" s="516"/>
      <c r="D675" s="515"/>
      <c r="E675" s="824"/>
      <c r="F675" s="824"/>
      <c r="G675" s="824"/>
      <c r="H675" s="824"/>
      <c r="I675" s="824"/>
      <c r="J675" s="824"/>
      <c r="K675" s="824"/>
      <c r="L675" s="824"/>
      <c r="M675" s="824"/>
      <c r="N675" s="824"/>
      <c r="O675" s="824"/>
      <c r="P675" s="824"/>
      <c r="Q675" s="824"/>
      <c r="R675" s="824"/>
      <c r="S675" s="824"/>
      <c r="T675" s="824"/>
      <c r="U675" s="824"/>
      <c r="V675" s="824"/>
      <c r="W675" s="824"/>
    </row>
    <row r="676" spans="2:23" hidden="1">
      <c r="B676" s="515"/>
      <c r="C676" s="516"/>
      <c r="D676" s="515"/>
      <c r="E676" s="824"/>
      <c r="F676" s="824"/>
      <c r="G676" s="824"/>
      <c r="H676" s="824"/>
      <c r="I676" s="824"/>
      <c r="J676" s="824"/>
      <c r="K676" s="824"/>
      <c r="L676" s="824"/>
      <c r="M676" s="824"/>
      <c r="N676" s="824"/>
      <c r="O676" s="824"/>
      <c r="P676" s="824"/>
      <c r="Q676" s="824"/>
      <c r="R676" s="824"/>
      <c r="S676" s="824"/>
      <c r="T676" s="824"/>
      <c r="U676" s="824"/>
      <c r="V676" s="824"/>
      <c r="W676" s="824"/>
    </row>
    <row r="677" spans="2:23" hidden="1">
      <c r="B677" s="515"/>
      <c r="C677" s="516"/>
      <c r="D677" s="515"/>
      <c r="E677" s="824"/>
      <c r="F677" s="824"/>
      <c r="G677" s="824"/>
      <c r="H677" s="824"/>
      <c r="I677" s="824"/>
      <c r="J677" s="824"/>
      <c r="K677" s="824"/>
      <c r="L677" s="824"/>
      <c r="M677" s="824"/>
      <c r="N677" s="824"/>
      <c r="O677" s="824"/>
      <c r="P677" s="824"/>
      <c r="Q677" s="824"/>
      <c r="R677" s="824"/>
      <c r="S677" s="824"/>
      <c r="T677" s="824"/>
      <c r="U677" s="824"/>
      <c r="V677" s="824"/>
      <c r="W677" s="824"/>
    </row>
    <row r="678" spans="2:23" hidden="1">
      <c r="B678" s="515"/>
      <c r="C678" s="516"/>
      <c r="D678" s="515"/>
      <c r="E678" s="824"/>
      <c r="F678" s="824"/>
      <c r="G678" s="824"/>
      <c r="H678" s="824"/>
      <c r="I678" s="824"/>
      <c r="J678" s="824"/>
      <c r="K678" s="824"/>
      <c r="L678" s="824"/>
      <c r="M678" s="824"/>
      <c r="N678" s="824"/>
      <c r="O678" s="824"/>
      <c r="P678" s="824"/>
      <c r="Q678" s="824"/>
      <c r="R678" s="824"/>
      <c r="S678" s="824"/>
      <c r="T678" s="824"/>
      <c r="U678" s="824"/>
      <c r="V678" s="824"/>
      <c r="W678" s="824"/>
    </row>
    <row r="679" spans="2:23" hidden="1">
      <c r="B679" s="515"/>
      <c r="C679" s="516"/>
      <c r="D679" s="515"/>
      <c r="E679" s="824"/>
      <c r="F679" s="824"/>
      <c r="G679" s="824"/>
      <c r="H679" s="824"/>
      <c r="I679" s="824"/>
      <c r="J679" s="824"/>
      <c r="K679" s="824"/>
      <c r="L679" s="824"/>
      <c r="M679" s="824"/>
      <c r="N679" s="824"/>
      <c r="O679" s="824"/>
      <c r="P679" s="824"/>
      <c r="Q679" s="824"/>
      <c r="R679" s="824"/>
      <c r="S679" s="824"/>
      <c r="T679" s="824"/>
      <c r="U679" s="824"/>
      <c r="V679" s="824"/>
      <c r="W679" s="824"/>
    </row>
    <row r="680" spans="2:23" hidden="1">
      <c r="B680" s="515"/>
      <c r="C680" s="516"/>
      <c r="D680" s="515"/>
      <c r="E680" s="824"/>
      <c r="F680" s="824"/>
      <c r="G680" s="824"/>
      <c r="H680" s="824"/>
      <c r="I680" s="824"/>
      <c r="J680" s="824"/>
      <c r="K680" s="824"/>
      <c r="L680" s="824"/>
      <c r="M680" s="824"/>
      <c r="N680" s="824"/>
      <c r="O680" s="824"/>
      <c r="P680" s="824"/>
      <c r="Q680" s="824"/>
      <c r="R680" s="824"/>
      <c r="S680" s="824"/>
      <c r="T680" s="824"/>
      <c r="U680" s="824"/>
      <c r="V680" s="824"/>
      <c r="W680" s="824"/>
    </row>
    <row r="681" spans="2:23" hidden="1">
      <c r="B681" s="515"/>
      <c r="C681" s="516"/>
      <c r="D681" s="515"/>
      <c r="E681" s="824"/>
      <c r="F681" s="824"/>
      <c r="G681" s="824"/>
      <c r="H681" s="824"/>
      <c r="I681" s="824"/>
      <c r="J681" s="824"/>
      <c r="K681" s="824"/>
      <c r="L681" s="824"/>
      <c r="M681" s="824"/>
      <c r="N681" s="824"/>
      <c r="O681" s="824"/>
      <c r="P681" s="824"/>
      <c r="Q681" s="824"/>
      <c r="R681" s="824"/>
      <c r="S681" s="824"/>
      <c r="T681" s="824"/>
      <c r="U681" s="824"/>
      <c r="V681" s="824"/>
      <c r="W681" s="824"/>
    </row>
    <row r="682" spans="2:23" hidden="1">
      <c r="B682" s="515"/>
      <c r="C682" s="516"/>
      <c r="D682" s="515"/>
      <c r="E682" s="824"/>
      <c r="F682" s="824"/>
      <c r="G682" s="824"/>
      <c r="H682" s="824"/>
      <c r="I682" s="824"/>
      <c r="J682" s="824"/>
      <c r="K682" s="824"/>
      <c r="L682" s="824"/>
      <c r="M682" s="824"/>
      <c r="N682" s="824"/>
      <c r="O682" s="824"/>
      <c r="P682" s="824"/>
      <c r="Q682" s="824"/>
      <c r="R682" s="824"/>
      <c r="S682" s="824"/>
      <c r="T682" s="824"/>
      <c r="U682" s="824"/>
      <c r="V682" s="824"/>
      <c r="W682" s="824"/>
    </row>
    <row r="683" spans="2:23" hidden="1">
      <c r="B683" s="515"/>
      <c r="C683" s="516"/>
      <c r="D683" s="515"/>
      <c r="E683" s="824"/>
      <c r="F683" s="824"/>
      <c r="G683" s="824"/>
      <c r="H683" s="824"/>
      <c r="I683" s="824"/>
      <c r="J683" s="824"/>
      <c r="K683" s="824"/>
      <c r="L683" s="824"/>
      <c r="M683" s="824"/>
      <c r="N683" s="824"/>
      <c r="O683" s="824"/>
      <c r="P683" s="824"/>
      <c r="Q683" s="824"/>
      <c r="R683" s="824"/>
      <c r="S683" s="824"/>
      <c r="T683" s="824"/>
      <c r="U683" s="824"/>
      <c r="V683" s="824"/>
      <c r="W683" s="824"/>
    </row>
    <row r="684" spans="2:23" hidden="1">
      <c r="B684" s="515"/>
      <c r="C684" s="516"/>
      <c r="D684" s="515"/>
      <c r="E684" s="824"/>
      <c r="F684" s="824"/>
      <c r="G684" s="824"/>
      <c r="H684" s="824"/>
      <c r="I684" s="824"/>
      <c r="J684" s="824"/>
      <c r="K684" s="824"/>
      <c r="L684" s="824"/>
      <c r="M684" s="824"/>
      <c r="N684" s="824"/>
      <c r="O684" s="824"/>
      <c r="P684" s="824"/>
      <c r="Q684" s="824"/>
      <c r="R684" s="824"/>
      <c r="S684" s="824"/>
      <c r="T684" s="824"/>
      <c r="U684" s="824"/>
      <c r="V684" s="824"/>
      <c r="W684" s="824"/>
    </row>
    <row r="685" spans="2:23" hidden="1">
      <c r="B685" s="515"/>
      <c r="C685" s="516"/>
      <c r="D685" s="515"/>
      <c r="E685" s="824"/>
      <c r="F685" s="824"/>
      <c r="G685" s="824"/>
      <c r="H685" s="824"/>
      <c r="I685" s="824"/>
      <c r="J685" s="824"/>
      <c r="K685" s="824"/>
      <c r="L685" s="824"/>
      <c r="M685" s="824"/>
      <c r="N685" s="824"/>
      <c r="O685" s="824"/>
      <c r="P685" s="824"/>
      <c r="Q685" s="824"/>
      <c r="R685" s="824"/>
      <c r="S685" s="824"/>
      <c r="T685" s="824"/>
      <c r="U685" s="824"/>
      <c r="V685" s="824"/>
      <c r="W685" s="824"/>
    </row>
    <row r="686" spans="2:23" hidden="1">
      <c r="B686" s="515"/>
      <c r="C686" s="516"/>
      <c r="D686" s="515"/>
      <c r="E686" s="824"/>
      <c r="F686" s="824"/>
      <c r="G686" s="824"/>
      <c r="H686" s="824"/>
      <c r="I686" s="824"/>
      <c r="J686" s="824"/>
      <c r="K686" s="824"/>
      <c r="L686" s="824"/>
      <c r="M686" s="824"/>
      <c r="N686" s="824"/>
      <c r="O686" s="824"/>
      <c r="P686" s="824"/>
      <c r="Q686" s="824"/>
      <c r="R686" s="824"/>
      <c r="S686" s="824"/>
      <c r="T686" s="824"/>
      <c r="U686" s="824"/>
      <c r="V686" s="824"/>
      <c r="W686" s="824"/>
    </row>
    <row r="687" spans="2:23" hidden="1">
      <c r="B687" s="515"/>
      <c r="C687" s="516"/>
      <c r="D687" s="515"/>
      <c r="E687" s="824"/>
      <c r="F687" s="824"/>
      <c r="G687" s="824"/>
      <c r="H687" s="824"/>
      <c r="I687" s="824"/>
      <c r="J687" s="824"/>
      <c r="K687" s="824"/>
      <c r="L687" s="824"/>
      <c r="M687" s="824"/>
      <c r="N687" s="824"/>
      <c r="O687" s="824"/>
      <c r="P687" s="824"/>
      <c r="Q687" s="824"/>
      <c r="R687" s="824"/>
      <c r="S687" s="824"/>
      <c r="T687" s="824"/>
      <c r="U687" s="824"/>
      <c r="V687" s="824"/>
      <c r="W687" s="824"/>
    </row>
    <row r="688" spans="2:23" hidden="1">
      <c r="B688" s="515"/>
      <c r="C688" s="516"/>
      <c r="D688" s="515"/>
      <c r="E688" s="824"/>
      <c r="F688" s="824"/>
      <c r="G688" s="824"/>
      <c r="H688" s="824"/>
      <c r="I688" s="824"/>
      <c r="J688" s="824"/>
      <c r="K688" s="824"/>
      <c r="L688" s="824"/>
      <c r="M688" s="824"/>
      <c r="N688" s="824"/>
      <c r="O688" s="824"/>
      <c r="P688" s="824"/>
      <c r="Q688" s="824"/>
      <c r="R688" s="824"/>
      <c r="S688" s="824"/>
      <c r="T688" s="824"/>
      <c r="U688" s="824"/>
      <c r="V688" s="824"/>
      <c r="W688" s="824"/>
    </row>
    <row r="689" spans="2:23" hidden="1">
      <c r="B689" s="515"/>
      <c r="C689" s="516"/>
      <c r="D689" s="515"/>
      <c r="E689" s="824"/>
      <c r="F689" s="824"/>
      <c r="G689" s="824"/>
      <c r="H689" s="824"/>
      <c r="I689" s="824"/>
      <c r="J689" s="824"/>
      <c r="K689" s="824"/>
      <c r="L689" s="824"/>
      <c r="M689" s="824"/>
      <c r="N689" s="824"/>
      <c r="O689" s="824"/>
      <c r="P689" s="824"/>
      <c r="Q689" s="824"/>
      <c r="R689" s="824"/>
      <c r="S689" s="824"/>
      <c r="T689" s="824"/>
      <c r="U689" s="824"/>
      <c r="V689" s="824"/>
      <c r="W689" s="824"/>
    </row>
    <row r="690" spans="2:23" hidden="1">
      <c r="B690" s="515"/>
      <c r="C690" s="516"/>
      <c r="D690" s="515"/>
      <c r="E690" s="824"/>
      <c r="F690" s="824"/>
      <c r="G690" s="824"/>
      <c r="H690" s="824"/>
      <c r="I690" s="824"/>
      <c r="J690" s="824"/>
      <c r="K690" s="824"/>
      <c r="L690" s="824"/>
      <c r="M690" s="824"/>
      <c r="N690" s="824"/>
      <c r="O690" s="824"/>
      <c r="P690" s="824"/>
      <c r="Q690" s="824"/>
      <c r="R690" s="824"/>
      <c r="S690" s="824"/>
      <c r="T690" s="824"/>
      <c r="U690" s="824"/>
      <c r="V690" s="824"/>
      <c r="W690" s="824"/>
    </row>
    <row r="691" spans="2:23" hidden="1">
      <c r="B691" s="515"/>
      <c r="C691" s="516"/>
      <c r="D691" s="515"/>
      <c r="E691" s="824"/>
      <c r="F691" s="824"/>
      <c r="G691" s="824"/>
      <c r="H691" s="824"/>
      <c r="I691" s="824"/>
      <c r="J691" s="824"/>
      <c r="K691" s="824"/>
      <c r="L691" s="824"/>
      <c r="M691" s="824"/>
      <c r="N691" s="824"/>
      <c r="O691" s="824"/>
      <c r="P691" s="824"/>
      <c r="Q691" s="824"/>
      <c r="R691" s="824"/>
      <c r="S691" s="824"/>
      <c r="T691" s="824"/>
      <c r="U691" s="824"/>
      <c r="V691" s="824"/>
      <c r="W691" s="824"/>
    </row>
    <row r="692" spans="2:23" hidden="1">
      <c r="B692" s="515"/>
      <c r="C692" s="516"/>
      <c r="D692" s="515"/>
      <c r="E692" s="824"/>
      <c r="F692" s="824"/>
      <c r="G692" s="824"/>
      <c r="H692" s="824"/>
      <c r="I692" s="824"/>
      <c r="J692" s="824"/>
      <c r="K692" s="824"/>
      <c r="L692" s="824"/>
      <c r="M692" s="824"/>
      <c r="N692" s="824"/>
      <c r="O692" s="824"/>
      <c r="P692" s="824"/>
      <c r="Q692" s="824"/>
      <c r="R692" s="824"/>
      <c r="S692" s="824"/>
      <c r="T692" s="824"/>
      <c r="U692" s="824"/>
      <c r="V692" s="824"/>
      <c r="W692" s="824"/>
    </row>
    <row r="693" spans="2:23" hidden="1">
      <c r="B693" s="515"/>
      <c r="C693" s="516"/>
      <c r="D693" s="515"/>
      <c r="E693" s="824"/>
      <c r="F693" s="824"/>
      <c r="G693" s="824"/>
      <c r="H693" s="824"/>
      <c r="I693" s="824"/>
      <c r="J693" s="824"/>
      <c r="K693" s="824"/>
      <c r="L693" s="824"/>
      <c r="M693" s="824"/>
      <c r="N693" s="824"/>
      <c r="O693" s="824"/>
      <c r="P693" s="824"/>
      <c r="Q693" s="824"/>
      <c r="R693" s="824"/>
      <c r="S693" s="824"/>
      <c r="T693" s="824"/>
      <c r="U693" s="824"/>
      <c r="V693" s="824"/>
      <c r="W693" s="824"/>
    </row>
    <row r="694" spans="2:23" hidden="1">
      <c r="B694" s="515"/>
      <c r="C694" s="516"/>
      <c r="D694" s="515"/>
      <c r="E694" s="824"/>
      <c r="F694" s="824"/>
      <c r="G694" s="824"/>
      <c r="H694" s="824"/>
      <c r="I694" s="824"/>
      <c r="J694" s="824"/>
      <c r="K694" s="824"/>
      <c r="L694" s="824"/>
      <c r="M694" s="824"/>
      <c r="N694" s="824"/>
      <c r="O694" s="824"/>
      <c r="P694" s="824"/>
      <c r="Q694" s="824"/>
      <c r="R694" s="824"/>
      <c r="S694" s="824"/>
      <c r="T694" s="824"/>
      <c r="U694" s="824"/>
      <c r="V694" s="824"/>
      <c r="W694" s="824"/>
    </row>
    <row r="695" spans="2:23" hidden="1">
      <c r="B695" s="515"/>
      <c r="C695" s="516"/>
      <c r="D695" s="515"/>
      <c r="E695" s="824"/>
      <c r="F695" s="824"/>
      <c r="G695" s="824"/>
      <c r="H695" s="824"/>
      <c r="I695" s="824"/>
      <c r="J695" s="824"/>
      <c r="K695" s="824"/>
      <c r="L695" s="824"/>
      <c r="M695" s="824"/>
      <c r="N695" s="824"/>
      <c r="O695" s="824"/>
      <c r="P695" s="824"/>
      <c r="Q695" s="824"/>
      <c r="R695" s="824"/>
      <c r="S695" s="824"/>
      <c r="T695" s="824"/>
      <c r="U695" s="824"/>
      <c r="V695" s="824"/>
      <c r="W695" s="824"/>
    </row>
    <row r="696" spans="2:23" hidden="1">
      <c r="B696" s="515"/>
      <c r="C696" s="516"/>
      <c r="D696" s="515"/>
      <c r="E696" s="824"/>
      <c r="F696" s="824"/>
      <c r="G696" s="824"/>
      <c r="H696" s="824"/>
      <c r="I696" s="824"/>
      <c r="J696" s="824"/>
      <c r="K696" s="824"/>
      <c r="L696" s="824"/>
      <c r="M696" s="824"/>
      <c r="N696" s="824"/>
      <c r="O696" s="824"/>
      <c r="P696" s="824"/>
      <c r="Q696" s="824"/>
      <c r="R696" s="824"/>
      <c r="S696" s="824"/>
      <c r="T696" s="824"/>
      <c r="U696" s="824"/>
      <c r="V696" s="824"/>
      <c r="W696" s="824"/>
    </row>
    <row r="697" spans="2:23" hidden="1">
      <c r="B697" s="515"/>
      <c r="C697" s="516"/>
      <c r="D697" s="515"/>
      <c r="E697" s="824"/>
      <c r="F697" s="824"/>
      <c r="G697" s="824"/>
      <c r="H697" s="824"/>
      <c r="I697" s="824"/>
      <c r="J697" s="824"/>
      <c r="K697" s="824"/>
      <c r="L697" s="824"/>
      <c r="M697" s="824"/>
      <c r="N697" s="824"/>
      <c r="O697" s="824"/>
      <c r="P697" s="824"/>
      <c r="Q697" s="824"/>
      <c r="R697" s="824"/>
      <c r="S697" s="824"/>
      <c r="T697" s="824"/>
      <c r="U697" s="824"/>
      <c r="V697" s="824"/>
      <c r="W697" s="824"/>
    </row>
    <row r="698" spans="2:23" hidden="1">
      <c r="B698" s="515"/>
      <c r="C698" s="516"/>
      <c r="D698" s="515"/>
      <c r="E698" s="824"/>
      <c r="F698" s="824"/>
      <c r="G698" s="824"/>
      <c r="H698" s="824"/>
      <c r="I698" s="824"/>
      <c r="J698" s="824"/>
      <c r="K698" s="824"/>
      <c r="L698" s="824"/>
      <c r="M698" s="824"/>
      <c r="N698" s="824"/>
      <c r="O698" s="824"/>
      <c r="P698" s="824"/>
      <c r="Q698" s="824"/>
      <c r="R698" s="824"/>
      <c r="S698" s="824"/>
      <c r="T698" s="824"/>
      <c r="U698" s="824"/>
      <c r="V698" s="824"/>
      <c r="W698" s="824"/>
    </row>
    <row r="699" spans="2:23" hidden="1">
      <c r="B699" s="515"/>
      <c r="C699" s="516"/>
      <c r="D699" s="515"/>
      <c r="E699" s="824"/>
      <c r="F699" s="824"/>
      <c r="G699" s="824"/>
      <c r="H699" s="824"/>
      <c r="I699" s="824"/>
      <c r="J699" s="824"/>
      <c r="K699" s="824"/>
      <c r="L699" s="824"/>
      <c r="M699" s="824"/>
      <c r="N699" s="824"/>
      <c r="O699" s="824"/>
      <c r="P699" s="824"/>
      <c r="Q699" s="824"/>
      <c r="R699" s="824"/>
      <c r="S699" s="824"/>
      <c r="T699" s="824"/>
      <c r="U699" s="824"/>
      <c r="V699" s="824"/>
      <c r="W699" s="824"/>
    </row>
    <row r="700" spans="2:23" hidden="1">
      <c r="B700" s="515"/>
      <c r="C700" s="516"/>
      <c r="D700" s="515"/>
      <c r="E700" s="824"/>
      <c r="F700" s="824"/>
      <c r="G700" s="824"/>
      <c r="H700" s="824"/>
      <c r="I700" s="824"/>
      <c r="J700" s="824"/>
      <c r="K700" s="824"/>
      <c r="L700" s="824"/>
      <c r="M700" s="824"/>
      <c r="N700" s="824"/>
      <c r="O700" s="824"/>
      <c r="P700" s="824"/>
      <c r="Q700" s="824"/>
      <c r="R700" s="824"/>
      <c r="S700" s="824"/>
      <c r="T700" s="824"/>
      <c r="U700" s="824"/>
      <c r="V700" s="824"/>
      <c r="W700" s="824"/>
    </row>
    <row r="701" spans="2:23" hidden="1">
      <c r="B701" s="515"/>
      <c r="C701" s="516"/>
      <c r="D701" s="515"/>
      <c r="E701" s="824"/>
      <c r="F701" s="824"/>
      <c r="G701" s="824"/>
      <c r="H701" s="824"/>
      <c r="I701" s="824"/>
      <c r="J701" s="824"/>
      <c r="K701" s="824"/>
      <c r="L701" s="824"/>
      <c r="M701" s="824"/>
      <c r="N701" s="824"/>
      <c r="O701" s="824"/>
      <c r="P701" s="824"/>
      <c r="Q701" s="824"/>
      <c r="R701" s="824"/>
      <c r="S701" s="824"/>
      <c r="T701" s="824"/>
      <c r="U701" s="824"/>
      <c r="V701" s="824"/>
      <c r="W701" s="824"/>
    </row>
    <row r="702" spans="2:23" hidden="1">
      <c r="B702" s="515"/>
      <c r="C702" s="516"/>
      <c r="D702" s="515"/>
      <c r="E702" s="824"/>
      <c r="F702" s="824"/>
      <c r="G702" s="824"/>
      <c r="H702" s="824"/>
      <c r="I702" s="824"/>
      <c r="J702" s="824"/>
      <c r="K702" s="824"/>
      <c r="L702" s="824"/>
      <c r="M702" s="824"/>
      <c r="N702" s="824"/>
      <c r="O702" s="824"/>
      <c r="P702" s="824"/>
      <c r="Q702" s="824"/>
      <c r="R702" s="824"/>
      <c r="S702" s="824"/>
      <c r="T702" s="824"/>
      <c r="U702" s="824"/>
      <c r="V702" s="824"/>
      <c r="W702" s="824"/>
    </row>
    <row r="703" spans="2:23" hidden="1">
      <c r="B703" s="515"/>
      <c r="C703" s="516"/>
      <c r="D703" s="515"/>
      <c r="E703" s="824"/>
      <c r="F703" s="824"/>
      <c r="G703" s="824"/>
      <c r="H703" s="824"/>
      <c r="I703" s="824"/>
      <c r="J703" s="824"/>
      <c r="K703" s="824"/>
      <c r="L703" s="824"/>
      <c r="M703" s="824"/>
      <c r="N703" s="824"/>
      <c r="O703" s="824"/>
      <c r="P703" s="824"/>
      <c r="Q703" s="824"/>
      <c r="R703" s="824"/>
      <c r="S703" s="824"/>
      <c r="T703" s="824"/>
      <c r="U703" s="824"/>
      <c r="V703" s="824"/>
      <c r="W703" s="824"/>
    </row>
    <row r="704" spans="2:23" hidden="1">
      <c r="B704" s="515"/>
      <c r="C704" s="516"/>
      <c r="D704" s="515"/>
      <c r="E704" s="824"/>
      <c r="F704" s="824"/>
      <c r="G704" s="824"/>
      <c r="H704" s="824"/>
      <c r="I704" s="824"/>
      <c r="J704" s="824"/>
      <c r="K704" s="824"/>
      <c r="L704" s="824"/>
      <c r="M704" s="824"/>
      <c r="N704" s="824"/>
      <c r="O704" s="824"/>
      <c r="P704" s="824"/>
      <c r="Q704" s="824"/>
      <c r="R704" s="824"/>
      <c r="S704" s="824"/>
      <c r="T704" s="824"/>
      <c r="U704" s="824"/>
      <c r="V704" s="824"/>
      <c r="W704" s="824"/>
    </row>
    <row r="705" spans="2:23" hidden="1">
      <c r="B705" s="515"/>
      <c r="C705" s="516"/>
      <c r="D705" s="515"/>
      <c r="E705" s="824"/>
      <c r="F705" s="824"/>
      <c r="G705" s="824"/>
      <c r="H705" s="824"/>
      <c r="I705" s="824"/>
      <c r="J705" s="824"/>
      <c r="K705" s="824"/>
      <c r="L705" s="824"/>
      <c r="M705" s="824"/>
      <c r="N705" s="824"/>
      <c r="O705" s="824"/>
      <c r="P705" s="824"/>
      <c r="Q705" s="824"/>
      <c r="R705" s="824"/>
      <c r="S705" s="824"/>
      <c r="T705" s="824"/>
      <c r="U705" s="824"/>
      <c r="V705" s="824"/>
      <c r="W705" s="824"/>
    </row>
    <row r="706" spans="2:23" hidden="1">
      <c r="B706" s="515"/>
      <c r="C706" s="516"/>
      <c r="D706" s="515"/>
      <c r="E706" s="824"/>
      <c r="F706" s="824"/>
      <c r="G706" s="824"/>
      <c r="H706" s="824"/>
      <c r="I706" s="824"/>
      <c r="J706" s="824"/>
      <c r="K706" s="824"/>
      <c r="L706" s="824"/>
      <c r="M706" s="824"/>
      <c r="N706" s="824"/>
      <c r="O706" s="824"/>
      <c r="P706" s="824"/>
      <c r="Q706" s="824"/>
      <c r="R706" s="824"/>
      <c r="S706" s="824"/>
      <c r="T706" s="824"/>
      <c r="U706" s="824"/>
      <c r="V706" s="824"/>
      <c r="W706" s="824"/>
    </row>
    <row r="707" spans="2:23" hidden="1">
      <c r="B707" s="515"/>
      <c r="C707" s="516"/>
      <c r="D707" s="515"/>
      <c r="E707" s="824"/>
      <c r="F707" s="824"/>
      <c r="G707" s="824"/>
      <c r="H707" s="824"/>
      <c r="I707" s="824"/>
      <c r="J707" s="824"/>
      <c r="K707" s="824"/>
      <c r="L707" s="824"/>
      <c r="M707" s="824"/>
      <c r="N707" s="824"/>
      <c r="O707" s="824"/>
      <c r="P707" s="824"/>
      <c r="Q707" s="824"/>
      <c r="R707" s="824"/>
      <c r="S707" s="824"/>
      <c r="T707" s="824"/>
      <c r="U707" s="824"/>
      <c r="V707" s="824"/>
      <c r="W707" s="824"/>
    </row>
    <row r="708" spans="2:23" hidden="1">
      <c r="B708" s="515"/>
      <c r="C708" s="516"/>
      <c r="D708" s="515"/>
      <c r="E708" s="824"/>
      <c r="F708" s="824"/>
      <c r="G708" s="824"/>
      <c r="H708" s="824"/>
      <c r="I708" s="824"/>
      <c r="J708" s="824"/>
      <c r="K708" s="824"/>
      <c r="L708" s="824"/>
      <c r="M708" s="824"/>
      <c r="N708" s="824"/>
      <c r="O708" s="824"/>
      <c r="P708" s="824"/>
      <c r="Q708" s="824"/>
      <c r="R708" s="824"/>
      <c r="S708" s="824"/>
      <c r="T708" s="824"/>
      <c r="U708" s="824"/>
      <c r="V708" s="824"/>
      <c r="W708" s="824"/>
    </row>
    <row r="709" spans="2:23" hidden="1">
      <c r="B709" s="515"/>
      <c r="C709" s="516"/>
      <c r="D709" s="515"/>
      <c r="E709" s="824"/>
      <c r="F709" s="824"/>
      <c r="G709" s="824"/>
      <c r="H709" s="824"/>
      <c r="I709" s="824"/>
      <c r="J709" s="824"/>
      <c r="K709" s="824"/>
      <c r="L709" s="824"/>
      <c r="M709" s="824"/>
      <c r="N709" s="824"/>
      <c r="O709" s="824"/>
      <c r="P709" s="824"/>
      <c r="Q709" s="824"/>
      <c r="R709" s="824"/>
      <c r="S709" s="824"/>
      <c r="T709" s="824"/>
      <c r="U709" s="824"/>
      <c r="V709" s="824"/>
      <c r="W709" s="824"/>
    </row>
    <row r="710" spans="2:23" hidden="1">
      <c r="B710" s="515"/>
      <c r="C710" s="516"/>
      <c r="D710" s="515"/>
      <c r="E710" s="824"/>
      <c r="F710" s="824"/>
      <c r="G710" s="824"/>
      <c r="H710" s="824"/>
      <c r="I710" s="824"/>
      <c r="J710" s="824"/>
      <c r="K710" s="824"/>
      <c r="L710" s="824"/>
      <c r="M710" s="824"/>
      <c r="N710" s="824"/>
      <c r="O710" s="824"/>
      <c r="P710" s="824"/>
      <c r="Q710" s="824"/>
      <c r="R710" s="824"/>
      <c r="S710" s="824"/>
      <c r="T710" s="824"/>
      <c r="U710" s="824"/>
      <c r="V710" s="824"/>
      <c r="W710" s="824"/>
    </row>
    <row r="711" spans="2:23" hidden="1">
      <c r="B711" s="515"/>
      <c r="C711" s="516"/>
      <c r="D711" s="515"/>
      <c r="E711" s="824"/>
      <c r="F711" s="824"/>
      <c r="G711" s="824"/>
      <c r="H711" s="824"/>
      <c r="I711" s="824"/>
      <c r="J711" s="824"/>
      <c r="K711" s="824"/>
      <c r="L711" s="824"/>
      <c r="M711" s="824"/>
      <c r="N711" s="824"/>
      <c r="O711" s="824"/>
      <c r="P711" s="824"/>
      <c r="Q711" s="824"/>
      <c r="R711" s="824"/>
      <c r="S711" s="824"/>
      <c r="T711" s="824"/>
      <c r="U711" s="824"/>
      <c r="V711" s="824"/>
      <c r="W711" s="824"/>
    </row>
    <row r="712" spans="2:23" hidden="1">
      <c r="B712" s="515"/>
      <c r="C712" s="516"/>
      <c r="D712" s="515"/>
      <c r="E712" s="824"/>
      <c r="F712" s="824"/>
      <c r="G712" s="824"/>
      <c r="H712" s="824"/>
      <c r="I712" s="824"/>
      <c r="J712" s="824"/>
      <c r="K712" s="824"/>
      <c r="L712" s="824"/>
      <c r="M712" s="824"/>
      <c r="N712" s="824"/>
      <c r="O712" s="824"/>
      <c r="P712" s="824"/>
      <c r="Q712" s="824"/>
      <c r="R712" s="824"/>
      <c r="S712" s="824"/>
      <c r="T712" s="824"/>
      <c r="U712" s="824"/>
      <c r="V712" s="824"/>
      <c r="W712" s="824"/>
    </row>
    <row r="713" spans="2:23" hidden="1">
      <c r="B713" s="515"/>
      <c r="C713" s="516"/>
      <c r="D713" s="515"/>
      <c r="E713" s="824"/>
      <c r="F713" s="824"/>
      <c r="G713" s="824"/>
      <c r="H713" s="824"/>
      <c r="I713" s="824"/>
      <c r="J713" s="824"/>
      <c r="K713" s="824"/>
      <c r="L713" s="824"/>
      <c r="M713" s="824"/>
      <c r="N713" s="824"/>
      <c r="O713" s="824"/>
      <c r="P713" s="824"/>
      <c r="Q713" s="824"/>
      <c r="R713" s="824"/>
      <c r="S713" s="824"/>
      <c r="T713" s="824"/>
      <c r="U713" s="824"/>
      <c r="V713" s="824"/>
      <c r="W713" s="824"/>
    </row>
    <row r="714" spans="2:23" hidden="1">
      <c r="B714" s="515"/>
      <c r="C714" s="516"/>
      <c r="D714" s="515"/>
      <c r="E714" s="824"/>
      <c r="F714" s="824"/>
      <c r="G714" s="824"/>
      <c r="H714" s="824"/>
      <c r="I714" s="824"/>
      <c r="J714" s="824"/>
      <c r="K714" s="824"/>
      <c r="L714" s="824"/>
      <c r="M714" s="824"/>
      <c r="N714" s="824"/>
      <c r="O714" s="824"/>
      <c r="P714" s="824"/>
      <c r="Q714" s="824"/>
      <c r="R714" s="824"/>
      <c r="S714" s="824"/>
      <c r="T714" s="824"/>
      <c r="U714" s="824"/>
      <c r="V714" s="824"/>
      <c r="W714" s="824"/>
    </row>
    <row r="715" spans="2:23" hidden="1">
      <c r="B715" s="515"/>
      <c r="C715" s="516"/>
      <c r="D715" s="515"/>
      <c r="E715" s="824"/>
      <c r="F715" s="824"/>
      <c r="G715" s="824"/>
      <c r="H715" s="824"/>
      <c r="I715" s="824"/>
      <c r="J715" s="824"/>
      <c r="K715" s="824"/>
      <c r="L715" s="824"/>
      <c r="M715" s="824"/>
      <c r="N715" s="824"/>
      <c r="O715" s="824"/>
      <c r="P715" s="824"/>
      <c r="Q715" s="824"/>
      <c r="R715" s="824"/>
      <c r="S715" s="824"/>
      <c r="T715" s="824"/>
      <c r="U715" s="824"/>
      <c r="V715" s="824"/>
      <c r="W715" s="824"/>
    </row>
    <row r="716" spans="2:23" hidden="1">
      <c r="B716" s="515"/>
      <c r="C716" s="516"/>
      <c r="D716" s="515"/>
      <c r="E716" s="824"/>
      <c r="F716" s="824"/>
      <c r="G716" s="824"/>
      <c r="H716" s="824"/>
      <c r="I716" s="824"/>
      <c r="J716" s="824"/>
      <c r="K716" s="824"/>
      <c r="L716" s="824"/>
      <c r="M716" s="824"/>
      <c r="N716" s="824"/>
      <c r="O716" s="824"/>
      <c r="P716" s="824"/>
      <c r="Q716" s="824"/>
      <c r="R716" s="824"/>
      <c r="S716" s="824"/>
      <c r="T716" s="824"/>
      <c r="U716" s="824"/>
      <c r="V716" s="824"/>
      <c r="W716" s="824"/>
    </row>
    <row r="717" spans="2:23" hidden="1">
      <c r="B717" s="515"/>
      <c r="C717" s="516"/>
      <c r="D717" s="515"/>
      <c r="E717" s="824"/>
      <c r="F717" s="824"/>
      <c r="G717" s="824"/>
      <c r="H717" s="824"/>
      <c r="I717" s="824"/>
      <c r="J717" s="824"/>
      <c r="K717" s="824"/>
      <c r="L717" s="824"/>
      <c r="M717" s="824"/>
      <c r="N717" s="824"/>
      <c r="O717" s="824"/>
      <c r="P717" s="824"/>
      <c r="Q717" s="824"/>
      <c r="R717" s="824"/>
      <c r="S717" s="824"/>
      <c r="T717" s="824"/>
      <c r="U717" s="824"/>
      <c r="V717" s="824"/>
      <c r="W717" s="824"/>
    </row>
    <row r="718" spans="2:23" hidden="1">
      <c r="B718" s="515"/>
      <c r="C718" s="516"/>
      <c r="D718" s="515"/>
      <c r="E718" s="824"/>
      <c r="F718" s="824"/>
      <c r="G718" s="824"/>
      <c r="H718" s="824"/>
      <c r="I718" s="824"/>
      <c r="J718" s="824"/>
      <c r="K718" s="824"/>
      <c r="L718" s="824"/>
      <c r="M718" s="824"/>
      <c r="N718" s="824"/>
      <c r="O718" s="824"/>
      <c r="P718" s="824"/>
      <c r="Q718" s="824"/>
      <c r="R718" s="824"/>
      <c r="S718" s="824"/>
      <c r="T718" s="824"/>
      <c r="U718" s="824"/>
      <c r="V718" s="824"/>
      <c r="W718" s="824"/>
    </row>
    <row r="719" spans="2:23" hidden="1">
      <c r="B719" s="515"/>
      <c r="C719" s="516"/>
      <c r="D719" s="515"/>
      <c r="E719" s="824"/>
      <c r="F719" s="824"/>
      <c r="G719" s="824"/>
      <c r="H719" s="824"/>
      <c r="I719" s="824"/>
      <c r="J719" s="824"/>
      <c r="K719" s="824"/>
      <c r="L719" s="824"/>
      <c r="M719" s="824"/>
      <c r="N719" s="824"/>
      <c r="O719" s="824"/>
      <c r="P719" s="824"/>
      <c r="Q719" s="824"/>
      <c r="R719" s="824"/>
      <c r="S719" s="824"/>
      <c r="T719" s="824"/>
      <c r="U719" s="824"/>
      <c r="V719" s="824"/>
      <c r="W719" s="824"/>
    </row>
    <row r="720" spans="2:23" hidden="1">
      <c r="B720" s="515"/>
      <c r="C720" s="516"/>
      <c r="D720" s="515"/>
      <c r="E720" s="824"/>
      <c r="F720" s="824"/>
      <c r="G720" s="824"/>
      <c r="H720" s="824"/>
      <c r="I720" s="824"/>
      <c r="J720" s="824"/>
      <c r="K720" s="824"/>
      <c r="L720" s="824"/>
      <c r="M720" s="824"/>
      <c r="N720" s="824"/>
      <c r="O720" s="824"/>
      <c r="P720" s="824"/>
      <c r="Q720" s="824"/>
      <c r="R720" s="824"/>
      <c r="S720" s="824"/>
      <c r="T720" s="824"/>
      <c r="U720" s="824"/>
      <c r="V720" s="824"/>
      <c r="W720" s="824"/>
    </row>
    <row r="721" spans="2:23" hidden="1">
      <c r="B721" s="515"/>
      <c r="C721" s="516"/>
      <c r="D721" s="515"/>
      <c r="E721" s="824"/>
      <c r="F721" s="824"/>
      <c r="G721" s="824"/>
      <c r="H721" s="824"/>
      <c r="I721" s="824"/>
      <c r="J721" s="824"/>
      <c r="K721" s="824"/>
      <c r="L721" s="824"/>
      <c r="M721" s="824"/>
      <c r="N721" s="824"/>
      <c r="O721" s="824"/>
      <c r="P721" s="824"/>
      <c r="Q721" s="824"/>
      <c r="R721" s="824"/>
      <c r="S721" s="824"/>
      <c r="T721" s="824"/>
      <c r="U721" s="824"/>
      <c r="V721" s="824"/>
      <c r="W721" s="824"/>
    </row>
    <row r="722" spans="2:23" hidden="1">
      <c r="B722" s="515"/>
      <c r="C722" s="516"/>
      <c r="D722" s="515"/>
      <c r="E722" s="824"/>
      <c r="F722" s="824"/>
      <c r="G722" s="824"/>
      <c r="H722" s="824"/>
      <c r="I722" s="824"/>
      <c r="J722" s="824"/>
      <c r="K722" s="824"/>
      <c r="L722" s="824"/>
      <c r="M722" s="824"/>
      <c r="N722" s="824"/>
      <c r="O722" s="824"/>
      <c r="P722" s="824"/>
      <c r="Q722" s="824"/>
      <c r="R722" s="824"/>
      <c r="S722" s="824"/>
      <c r="T722" s="824"/>
      <c r="U722" s="824"/>
      <c r="V722" s="824"/>
      <c r="W722" s="824"/>
    </row>
    <row r="723" spans="2:23" hidden="1">
      <c r="B723" s="515"/>
      <c r="C723" s="516"/>
      <c r="D723" s="515"/>
      <c r="E723" s="824"/>
      <c r="F723" s="824"/>
      <c r="G723" s="824"/>
      <c r="H723" s="824"/>
      <c r="I723" s="824"/>
      <c r="J723" s="824"/>
      <c r="K723" s="824"/>
      <c r="L723" s="824"/>
      <c r="M723" s="824"/>
      <c r="N723" s="824"/>
      <c r="O723" s="824"/>
      <c r="P723" s="824"/>
      <c r="Q723" s="824"/>
      <c r="R723" s="824"/>
      <c r="S723" s="824"/>
      <c r="T723" s="824"/>
      <c r="U723" s="824"/>
      <c r="V723" s="824"/>
      <c r="W723" s="824"/>
    </row>
    <row r="724" spans="2:23" hidden="1">
      <c r="B724" s="515"/>
      <c r="C724" s="516"/>
      <c r="D724" s="515"/>
      <c r="E724" s="824"/>
      <c r="F724" s="824"/>
      <c r="G724" s="824"/>
      <c r="H724" s="824"/>
      <c r="I724" s="824"/>
      <c r="J724" s="824"/>
      <c r="K724" s="824"/>
      <c r="L724" s="824"/>
      <c r="M724" s="824"/>
      <c r="N724" s="824"/>
      <c r="O724" s="824"/>
      <c r="P724" s="824"/>
      <c r="Q724" s="824"/>
      <c r="R724" s="824"/>
      <c r="S724" s="824"/>
      <c r="T724" s="824"/>
      <c r="U724" s="824"/>
      <c r="V724" s="824"/>
      <c r="W724" s="824"/>
    </row>
    <row r="725" spans="2:23" hidden="1">
      <c r="B725" s="515"/>
      <c r="C725" s="516"/>
      <c r="D725" s="515"/>
      <c r="E725" s="824"/>
      <c r="F725" s="824"/>
      <c r="G725" s="824"/>
      <c r="H725" s="824"/>
      <c r="I725" s="824"/>
      <c r="J725" s="824"/>
      <c r="K725" s="824"/>
      <c r="L725" s="824"/>
      <c r="M725" s="824"/>
      <c r="N725" s="824"/>
      <c r="O725" s="824"/>
      <c r="P725" s="824"/>
      <c r="Q725" s="824"/>
      <c r="R725" s="824"/>
      <c r="S725" s="824"/>
      <c r="T725" s="824"/>
      <c r="U725" s="824"/>
      <c r="V725" s="824"/>
      <c r="W725" s="824"/>
    </row>
    <row r="726" spans="2:23" hidden="1">
      <c r="B726" s="515"/>
      <c r="C726" s="516"/>
      <c r="D726" s="515"/>
      <c r="E726" s="824"/>
      <c r="F726" s="824"/>
      <c r="G726" s="824"/>
      <c r="H726" s="824"/>
      <c r="I726" s="824"/>
      <c r="J726" s="824"/>
      <c r="K726" s="824"/>
      <c r="L726" s="824"/>
      <c r="M726" s="824"/>
      <c r="N726" s="824"/>
      <c r="O726" s="824"/>
      <c r="P726" s="824"/>
      <c r="Q726" s="824"/>
      <c r="R726" s="824"/>
      <c r="S726" s="824"/>
      <c r="T726" s="824"/>
      <c r="U726" s="824"/>
      <c r="V726" s="824"/>
      <c r="W726" s="824"/>
    </row>
    <row r="727" spans="2:23" hidden="1">
      <c r="B727" s="515"/>
      <c r="C727" s="516"/>
      <c r="D727" s="515"/>
      <c r="E727" s="824"/>
      <c r="F727" s="824"/>
      <c r="G727" s="824"/>
      <c r="H727" s="824"/>
      <c r="I727" s="824"/>
      <c r="J727" s="824"/>
      <c r="K727" s="824"/>
      <c r="L727" s="824"/>
      <c r="M727" s="824"/>
      <c r="N727" s="824"/>
      <c r="O727" s="824"/>
      <c r="P727" s="824"/>
      <c r="Q727" s="824"/>
      <c r="R727" s="824"/>
      <c r="S727" s="824"/>
      <c r="T727" s="824"/>
      <c r="U727" s="824"/>
      <c r="V727" s="824"/>
      <c r="W727" s="824"/>
    </row>
    <row r="728" spans="2:23" hidden="1">
      <c r="B728" s="515"/>
      <c r="C728" s="516"/>
      <c r="D728" s="515"/>
      <c r="E728" s="824"/>
      <c r="F728" s="824"/>
      <c r="G728" s="824"/>
      <c r="H728" s="824"/>
      <c r="I728" s="824"/>
      <c r="J728" s="824"/>
      <c r="K728" s="824"/>
      <c r="L728" s="824"/>
      <c r="M728" s="824"/>
      <c r="N728" s="824"/>
      <c r="O728" s="824"/>
      <c r="P728" s="824"/>
      <c r="Q728" s="824"/>
      <c r="R728" s="824"/>
      <c r="S728" s="824"/>
      <c r="T728" s="824"/>
      <c r="U728" s="824"/>
      <c r="V728" s="824"/>
      <c r="W728" s="824"/>
    </row>
    <row r="729" spans="2:23" hidden="1">
      <c r="B729" s="515"/>
      <c r="C729" s="516"/>
      <c r="D729" s="515"/>
      <c r="E729" s="824"/>
      <c r="F729" s="824"/>
      <c r="G729" s="824"/>
      <c r="H729" s="824"/>
      <c r="I729" s="824"/>
      <c r="J729" s="824"/>
      <c r="K729" s="824"/>
      <c r="L729" s="824"/>
      <c r="M729" s="824"/>
      <c r="N729" s="824"/>
      <c r="O729" s="824"/>
      <c r="P729" s="824"/>
      <c r="Q729" s="824"/>
      <c r="R729" s="824"/>
      <c r="S729" s="824"/>
      <c r="T729" s="824"/>
      <c r="U729" s="824"/>
      <c r="V729" s="824"/>
      <c r="W729" s="824"/>
    </row>
    <row r="730" spans="2:23" hidden="1">
      <c r="B730" s="515"/>
      <c r="C730" s="516"/>
      <c r="D730" s="515"/>
      <c r="E730" s="824"/>
      <c r="F730" s="824"/>
      <c r="G730" s="824"/>
      <c r="H730" s="824"/>
      <c r="I730" s="824"/>
      <c r="J730" s="824"/>
      <c r="K730" s="824"/>
      <c r="L730" s="824"/>
      <c r="M730" s="824"/>
      <c r="N730" s="824"/>
      <c r="O730" s="824"/>
      <c r="P730" s="824"/>
      <c r="Q730" s="824"/>
      <c r="R730" s="824"/>
      <c r="S730" s="824"/>
      <c r="T730" s="824"/>
      <c r="U730" s="824"/>
      <c r="V730" s="824"/>
      <c r="W730" s="824"/>
    </row>
    <row r="731" spans="2:23" hidden="1">
      <c r="B731" s="515"/>
      <c r="C731" s="516"/>
      <c r="D731" s="515"/>
      <c r="E731" s="824"/>
      <c r="F731" s="824"/>
      <c r="G731" s="824"/>
      <c r="H731" s="824"/>
      <c r="I731" s="824"/>
      <c r="J731" s="824"/>
      <c r="K731" s="824"/>
      <c r="L731" s="824"/>
      <c r="M731" s="824"/>
      <c r="N731" s="824"/>
      <c r="O731" s="824"/>
      <c r="P731" s="824"/>
      <c r="Q731" s="824"/>
      <c r="R731" s="824"/>
      <c r="S731" s="824"/>
      <c r="T731" s="824"/>
      <c r="U731" s="824"/>
      <c r="V731" s="824"/>
      <c r="W731" s="824"/>
    </row>
    <row r="732" spans="2:23" hidden="1">
      <c r="B732" s="515"/>
      <c r="C732" s="516"/>
      <c r="D732" s="515"/>
      <c r="E732" s="824"/>
      <c r="F732" s="824"/>
      <c r="G732" s="824"/>
      <c r="H732" s="824"/>
      <c r="I732" s="824"/>
      <c r="J732" s="824"/>
      <c r="K732" s="824"/>
      <c r="L732" s="824"/>
      <c r="M732" s="824"/>
      <c r="N732" s="824"/>
      <c r="O732" s="824"/>
      <c r="P732" s="824"/>
      <c r="Q732" s="824"/>
      <c r="R732" s="824"/>
      <c r="S732" s="824"/>
      <c r="T732" s="824"/>
      <c r="U732" s="824"/>
      <c r="V732" s="824"/>
      <c r="W732" s="824"/>
    </row>
    <row r="733" spans="2:23" hidden="1">
      <c r="B733" s="515"/>
      <c r="C733" s="516"/>
      <c r="D733" s="515"/>
      <c r="E733" s="824"/>
      <c r="F733" s="824"/>
      <c r="G733" s="824"/>
      <c r="H733" s="824"/>
      <c r="I733" s="824"/>
      <c r="J733" s="824"/>
      <c r="K733" s="824"/>
      <c r="L733" s="824"/>
      <c r="M733" s="824"/>
      <c r="N733" s="824"/>
      <c r="O733" s="824"/>
      <c r="P733" s="824"/>
      <c r="Q733" s="824"/>
      <c r="R733" s="824"/>
      <c r="S733" s="824"/>
      <c r="T733" s="824"/>
      <c r="U733" s="824"/>
      <c r="V733" s="824"/>
      <c r="W733" s="824"/>
    </row>
    <row r="734" spans="2:23" hidden="1">
      <c r="B734" s="515"/>
      <c r="C734" s="516"/>
      <c r="D734" s="515"/>
      <c r="E734" s="824"/>
      <c r="F734" s="824"/>
      <c r="G734" s="824"/>
      <c r="H734" s="824"/>
      <c r="I734" s="824"/>
      <c r="J734" s="824"/>
      <c r="K734" s="824"/>
      <c r="L734" s="824"/>
      <c r="M734" s="824"/>
      <c r="N734" s="824"/>
      <c r="O734" s="824"/>
      <c r="P734" s="824"/>
      <c r="Q734" s="824"/>
      <c r="R734" s="824"/>
      <c r="S734" s="824"/>
      <c r="T734" s="824"/>
      <c r="U734" s="824"/>
      <c r="V734" s="824"/>
      <c r="W734" s="824"/>
    </row>
    <row r="735" spans="2:23" hidden="1">
      <c r="B735" s="515"/>
      <c r="C735" s="516"/>
      <c r="D735" s="515"/>
      <c r="E735" s="824"/>
      <c r="F735" s="824"/>
      <c r="G735" s="824"/>
      <c r="H735" s="824"/>
      <c r="I735" s="824"/>
      <c r="J735" s="824"/>
      <c r="K735" s="824"/>
      <c r="L735" s="824"/>
      <c r="M735" s="824"/>
      <c r="N735" s="824"/>
      <c r="O735" s="824"/>
      <c r="P735" s="824"/>
      <c r="Q735" s="824"/>
      <c r="R735" s="824"/>
      <c r="S735" s="824"/>
      <c r="T735" s="824"/>
      <c r="U735" s="824"/>
      <c r="V735" s="824"/>
      <c r="W735" s="824"/>
    </row>
    <row r="736" spans="2:23" hidden="1">
      <c r="B736" s="515"/>
      <c r="C736" s="516"/>
      <c r="D736" s="515"/>
      <c r="E736" s="824"/>
      <c r="F736" s="824"/>
      <c r="G736" s="824"/>
      <c r="H736" s="824"/>
      <c r="I736" s="824"/>
      <c r="J736" s="824"/>
      <c r="K736" s="824"/>
      <c r="L736" s="824"/>
      <c r="M736" s="824"/>
      <c r="N736" s="824"/>
      <c r="O736" s="824"/>
      <c r="P736" s="824"/>
      <c r="Q736" s="824"/>
      <c r="R736" s="824"/>
      <c r="S736" s="824"/>
      <c r="T736" s="824"/>
      <c r="U736" s="824"/>
      <c r="V736" s="824"/>
      <c r="W736" s="824"/>
    </row>
    <row r="737" spans="2:23" hidden="1">
      <c r="B737" s="515"/>
      <c r="C737" s="516"/>
      <c r="D737" s="515"/>
      <c r="E737" s="824"/>
      <c r="F737" s="824"/>
      <c r="G737" s="824"/>
      <c r="H737" s="824"/>
      <c r="I737" s="824"/>
      <c r="J737" s="824"/>
      <c r="K737" s="824"/>
      <c r="L737" s="824"/>
      <c r="M737" s="824"/>
      <c r="N737" s="824"/>
      <c r="O737" s="824"/>
      <c r="P737" s="824"/>
      <c r="Q737" s="824"/>
      <c r="R737" s="824"/>
      <c r="S737" s="824"/>
      <c r="T737" s="824"/>
      <c r="U737" s="824"/>
      <c r="V737" s="824"/>
      <c r="W737" s="824"/>
    </row>
    <row r="738" spans="2:23" hidden="1">
      <c r="B738" s="515"/>
      <c r="C738" s="516"/>
      <c r="D738" s="515"/>
      <c r="E738" s="824"/>
      <c r="F738" s="824"/>
      <c r="G738" s="824"/>
      <c r="H738" s="824"/>
      <c r="I738" s="824"/>
      <c r="J738" s="824"/>
      <c r="K738" s="824"/>
      <c r="L738" s="824"/>
      <c r="M738" s="824"/>
      <c r="N738" s="824"/>
      <c r="O738" s="824"/>
      <c r="P738" s="824"/>
      <c r="Q738" s="824"/>
      <c r="R738" s="824"/>
      <c r="S738" s="824"/>
      <c r="T738" s="824"/>
      <c r="U738" s="824"/>
      <c r="V738" s="824"/>
      <c r="W738" s="824"/>
    </row>
    <row r="739" spans="2:23" hidden="1">
      <c r="B739" s="515"/>
      <c r="C739" s="516"/>
      <c r="D739" s="515"/>
      <c r="E739" s="824"/>
      <c r="F739" s="824"/>
      <c r="G739" s="824"/>
      <c r="H739" s="824"/>
      <c r="I739" s="824"/>
      <c r="J739" s="824"/>
      <c r="K739" s="824"/>
      <c r="L739" s="824"/>
      <c r="M739" s="824"/>
      <c r="N739" s="824"/>
      <c r="O739" s="824"/>
      <c r="P739" s="824"/>
      <c r="Q739" s="824"/>
      <c r="R739" s="824"/>
      <c r="S739" s="824"/>
      <c r="T739" s="824"/>
      <c r="U739" s="824"/>
      <c r="V739" s="824"/>
      <c r="W739" s="824"/>
    </row>
    <row r="740" spans="2:23" hidden="1">
      <c r="B740" s="515"/>
      <c r="C740" s="516"/>
      <c r="D740" s="515"/>
      <c r="E740" s="824"/>
      <c r="F740" s="824"/>
      <c r="G740" s="824"/>
      <c r="H740" s="824"/>
      <c r="I740" s="824"/>
      <c r="J740" s="824"/>
      <c r="K740" s="824"/>
      <c r="L740" s="824"/>
      <c r="M740" s="824"/>
      <c r="N740" s="824"/>
      <c r="O740" s="824"/>
      <c r="P740" s="824"/>
      <c r="Q740" s="824"/>
      <c r="R740" s="824"/>
      <c r="S740" s="824"/>
      <c r="T740" s="824"/>
      <c r="U740" s="824"/>
      <c r="V740" s="824"/>
      <c r="W740" s="824"/>
    </row>
    <row r="741" spans="2:23" hidden="1">
      <c r="B741" s="515"/>
      <c r="C741" s="516"/>
      <c r="D741" s="515"/>
      <c r="E741" s="824"/>
      <c r="F741" s="824"/>
      <c r="G741" s="824"/>
      <c r="H741" s="824"/>
      <c r="I741" s="824"/>
      <c r="J741" s="824"/>
      <c r="K741" s="824"/>
      <c r="L741" s="824"/>
      <c r="M741" s="824"/>
      <c r="N741" s="824"/>
      <c r="O741" s="824"/>
      <c r="P741" s="824"/>
      <c r="Q741" s="824"/>
      <c r="R741" s="824"/>
      <c r="S741" s="824"/>
      <c r="T741" s="824"/>
      <c r="U741" s="824"/>
      <c r="V741" s="824"/>
      <c r="W741" s="824"/>
    </row>
    <row r="742" spans="2:23" hidden="1">
      <c r="B742" s="515"/>
      <c r="C742" s="516"/>
      <c r="D742" s="515"/>
      <c r="E742" s="824"/>
      <c r="F742" s="824"/>
      <c r="G742" s="824"/>
      <c r="H742" s="824"/>
      <c r="I742" s="824"/>
      <c r="J742" s="824"/>
      <c r="K742" s="824"/>
      <c r="L742" s="824"/>
      <c r="M742" s="824"/>
      <c r="N742" s="824"/>
      <c r="O742" s="824"/>
      <c r="P742" s="824"/>
      <c r="Q742" s="824"/>
      <c r="R742" s="824"/>
      <c r="S742" s="824"/>
      <c r="T742" s="824"/>
      <c r="U742" s="824"/>
      <c r="V742" s="824"/>
      <c r="W742" s="824"/>
    </row>
    <row r="743" spans="2:23" hidden="1">
      <c r="B743" s="515"/>
      <c r="C743" s="516"/>
      <c r="D743" s="515"/>
      <c r="E743" s="824"/>
      <c r="F743" s="824"/>
      <c r="G743" s="824"/>
      <c r="H743" s="824"/>
      <c r="I743" s="824"/>
      <c r="J743" s="824"/>
      <c r="K743" s="824"/>
      <c r="L743" s="824"/>
      <c r="M743" s="824"/>
      <c r="N743" s="824"/>
      <c r="O743" s="824"/>
      <c r="P743" s="824"/>
      <c r="Q743" s="824"/>
      <c r="R743" s="824"/>
      <c r="S743" s="824"/>
      <c r="T743" s="824"/>
      <c r="U743" s="824"/>
      <c r="V743" s="824"/>
      <c r="W743" s="824"/>
    </row>
    <row r="744" spans="2:23" hidden="1">
      <c r="B744" s="515"/>
      <c r="C744" s="516"/>
      <c r="D744" s="515"/>
      <c r="E744" s="824"/>
      <c r="F744" s="824"/>
      <c r="G744" s="824"/>
      <c r="H744" s="824"/>
      <c r="I744" s="824"/>
      <c r="J744" s="824"/>
      <c r="K744" s="824"/>
      <c r="L744" s="824"/>
      <c r="M744" s="824"/>
      <c r="N744" s="824"/>
      <c r="O744" s="824"/>
      <c r="P744" s="824"/>
      <c r="Q744" s="824"/>
      <c r="R744" s="824"/>
      <c r="S744" s="824"/>
      <c r="T744" s="824"/>
      <c r="U744" s="824"/>
      <c r="V744" s="824"/>
      <c r="W744" s="824"/>
    </row>
    <row r="745" spans="2:23" hidden="1">
      <c r="B745" s="515"/>
      <c r="C745" s="516"/>
      <c r="D745" s="515"/>
      <c r="E745" s="824"/>
      <c r="F745" s="824"/>
      <c r="G745" s="824"/>
      <c r="H745" s="824"/>
      <c r="I745" s="824"/>
      <c r="J745" s="824"/>
      <c r="K745" s="824"/>
      <c r="L745" s="824"/>
      <c r="M745" s="824"/>
      <c r="N745" s="824"/>
      <c r="O745" s="824"/>
      <c r="P745" s="824"/>
      <c r="Q745" s="824"/>
      <c r="R745" s="824"/>
      <c r="S745" s="824"/>
      <c r="T745" s="824"/>
      <c r="U745" s="824"/>
      <c r="V745" s="824"/>
      <c r="W745" s="824"/>
    </row>
    <row r="746" spans="2:23" hidden="1">
      <c r="B746" s="515"/>
      <c r="C746" s="516"/>
      <c r="D746" s="515"/>
      <c r="E746" s="824"/>
      <c r="F746" s="824"/>
      <c r="G746" s="824"/>
      <c r="H746" s="824"/>
      <c r="I746" s="824"/>
      <c r="J746" s="824"/>
      <c r="K746" s="824"/>
      <c r="L746" s="824"/>
      <c r="M746" s="824"/>
      <c r="N746" s="824"/>
      <c r="O746" s="824"/>
      <c r="P746" s="824"/>
      <c r="Q746" s="824"/>
      <c r="R746" s="824"/>
      <c r="S746" s="824"/>
      <c r="T746" s="824"/>
      <c r="U746" s="824"/>
      <c r="V746" s="824"/>
      <c r="W746" s="824"/>
    </row>
    <row r="747" spans="2:23" hidden="1">
      <c r="B747" s="515"/>
      <c r="C747" s="516"/>
      <c r="D747" s="515"/>
      <c r="E747" s="824"/>
      <c r="F747" s="824"/>
      <c r="G747" s="824"/>
      <c r="H747" s="824"/>
      <c r="I747" s="824"/>
      <c r="J747" s="824"/>
      <c r="K747" s="824"/>
      <c r="L747" s="824"/>
      <c r="M747" s="824"/>
      <c r="N747" s="824"/>
      <c r="O747" s="824"/>
      <c r="P747" s="824"/>
      <c r="Q747" s="824"/>
      <c r="R747" s="824"/>
      <c r="S747" s="824"/>
      <c r="T747" s="824"/>
      <c r="U747" s="824"/>
      <c r="V747" s="824"/>
      <c r="W747" s="824"/>
    </row>
    <row r="748" spans="2:23" hidden="1">
      <c r="B748" s="515"/>
      <c r="C748" s="516"/>
      <c r="D748" s="515"/>
      <c r="E748" s="824"/>
      <c r="F748" s="824"/>
      <c r="G748" s="824"/>
      <c r="H748" s="824"/>
      <c r="I748" s="824"/>
      <c r="J748" s="824"/>
      <c r="K748" s="824"/>
      <c r="L748" s="824"/>
      <c r="M748" s="824"/>
      <c r="N748" s="824"/>
      <c r="O748" s="824"/>
      <c r="P748" s="824"/>
      <c r="Q748" s="824"/>
      <c r="R748" s="824"/>
      <c r="S748" s="824"/>
      <c r="T748" s="824"/>
      <c r="U748" s="824"/>
      <c r="V748" s="824"/>
      <c r="W748" s="824"/>
    </row>
    <row r="749" spans="2:23" hidden="1">
      <c r="B749" s="515"/>
      <c r="C749" s="516"/>
      <c r="D749" s="515"/>
      <c r="E749" s="824"/>
      <c r="F749" s="824"/>
      <c r="G749" s="824"/>
      <c r="H749" s="824"/>
      <c r="I749" s="824"/>
      <c r="J749" s="824"/>
      <c r="K749" s="824"/>
      <c r="L749" s="824"/>
      <c r="M749" s="824"/>
      <c r="N749" s="824"/>
      <c r="O749" s="824"/>
      <c r="P749" s="824"/>
      <c r="Q749" s="824"/>
      <c r="R749" s="824"/>
      <c r="S749" s="824"/>
      <c r="T749" s="824"/>
      <c r="U749" s="824"/>
      <c r="V749" s="824"/>
      <c r="W749" s="824"/>
    </row>
    <row r="750" spans="2:23" hidden="1">
      <c r="B750" s="515"/>
      <c r="C750" s="516"/>
      <c r="D750" s="515"/>
      <c r="E750" s="824"/>
      <c r="F750" s="824"/>
      <c r="G750" s="824"/>
      <c r="H750" s="824"/>
      <c r="I750" s="824"/>
      <c r="J750" s="824"/>
      <c r="K750" s="824"/>
      <c r="L750" s="824"/>
      <c r="M750" s="824"/>
      <c r="N750" s="824"/>
      <c r="O750" s="824"/>
      <c r="P750" s="824"/>
      <c r="Q750" s="824"/>
      <c r="R750" s="824"/>
      <c r="S750" s="824"/>
      <c r="T750" s="824"/>
      <c r="U750" s="824"/>
      <c r="V750" s="824"/>
      <c r="W750" s="824"/>
    </row>
    <row r="751" spans="2:23" hidden="1">
      <c r="B751" s="515"/>
      <c r="C751" s="516"/>
      <c r="D751" s="515"/>
      <c r="E751" s="824"/>
      <c r="F751" s="824"/>
      <c r="G751" s="824"/>
      <c r="H751" s="824"/>
      <c r="I751" s="824"/>
      <c r="J751" s="824"/>
      <c r="K751" s="824"/>
      <c r="L751" s="824"/>
      <c r="M751" s="824"/>
      <c r="N751" s="824"/>
      <c r="O751" s="824"/>
      <c r="P751" s="824"/>
      <c r="Q751" s="824"/>
      <c r="R751" s="824"/>
      <c r="S751" s="824"/>
      <c r="T751" s="824"/>
      <c r="U751" s="824"/>
      <c r="V751" s="824"/>
      <c r="W751" s="824"/>
    </row>
    <row r="752" spans="2:23" hidden="1">
      <c r="B752" s="515"/>
      <c r="C752" s="516"/>
      <c r="D752" s="515"/>
      <c r="E752" s="824"/>
      <c r="F752" s="824"/>
      <c r="G752" s="824"/>
      <c r="H752" s="824"/>
      <c r="I752" s="824"/>
      <c r="J752" s="824"/>
      <c r="K752" s="824"/>
      <c r="L752" s="824"/>
      <c r="M752" s="824"/>
      <c r="N752" s="824"/>
      <c r="O752" s="824"/>
      <c r="P752" s="824"/>
      <c r="Q752" s="824"/>
      <c r="R752" s="824"/>
      <c r="S752" s="824"/>
      <c r="T752" s="824"/>
      <c r="U752" s="824"/>
      <c r="V752" s="824"/>
      <c r="W752" s="824"/>
    </row>
    <row r="753" spans="2:23" hidden="1">
      <c r="B753" s="515"/>
      <c r="C753" s="516"/>
      <c r="D753" s="515"/>
      <c r="E753" s="824"/>
      <c r="F753" s="824"/>
      <c r="G753" s="824"/>
      <c r="H753" s="824"/>
      <c r="I753" s="824"/>
      <c r="J753" s="824"/>
      <c r="K753" s="824"/>
      <c r="L753" s="824"/>
      <c r="M753" s="824"/>
      <c r="N753" s="824"/>
      <c r="O753" s="824"/>
      <c r="P753" s="824"/>
      <c r="Q753" s="824"/>
      <c r="R753" s="824"/>
      <c r="S753" s="824"/>
      <c r="T753" s="824"/>
      <c r="U753" s="824"/>
      <c r="V753" s="824"/>
      <c r="W753" s="824"/>
    </row>
    <row r="754" spans="2:23" hidden="1">
      <c r="B754" s="515"/>
      <c r="C754" s="516"/>
      <c r="D754" s="515"/>
      <c r="E754" s="824"/>
      <c r="F754" s="824"/>
      <c r="G754" s="824"/>
      <c r="H754" s="824"/>
      <c r="I754" s="824"/>
      <c r="J754" s="824"/>
      <c r="K754" s="824"/>
      <c r="L754" s="824"/>
      <c r="M754" s="824"/>
      <c r="N754" s="824"/>
      <c r="O754" s="824"/>
      <c r="P754" s="824"/>
      <c r="Q754" s="824"/>
      <c r="R754" s="824"/>
      <c r="S754" s="824"/>
      <c r="T754" s="824"/>
      <c r="U754" s="824"/>
      <c r="V754" s="824"/>
      <c r="W754" s="824"/>
    </row>
    <row r="755" spans="2:23" hidden="1">
      <c r="B755" s="515"/>
      <c r="C755" s="516"/>
      <c r="D755" s="515"/>
      <c r="E755" s="824"/>
      <c r="F755" s="824"/>
      <c r="G755" s="824"/>
      <c r="H755" s="824"/>
      <c r="I755" s="824"/>
      <c r="J755" s="824"/>
      <c r="K755" s="824"/>
      <c r="L755" s="824"/>
      <c r="M755" s="824"/>
      <c r="N755" s="824"/>
      <c r="O755" s="824"/>
      <c r="P755" s="824"/>
      <c r="Q755" s="824"/>
      <c r="R755" s="824"/>
      <c r="S755" s="824"/>
      <c r="T755" s="824"/>
      <c r="U755" s="824"/>
      <c r="V755" s="824"/>
      <c r="W755" s="824"/>
    </row>
    <row r="756" spans="2:23" hidden="1">
      <c r="B756" s="515"/>
      <c r="C756" s="516"/>
      <c r="D756" s="515"/>
      <c r="E756" s="824"/>
      <c r="F756" s="824"/>
      <c r="G756" s="824"/>
      <c r="H756" s="824"/>
      <c r="I756" s="824"/>
      <c r="J756" s="824"/>
      <c r="K756" s="824"/>
      <c r="L756" s="824"/>
      <c r="M756" s="824"/>
      <c r="N756" s="824"/>
      <c r="O756" s="824"/>
      <c r="P756" s="824"/>
      <c r="Q756" s="824"/>
      <c r="R756" s="824"/>
      <c r="S756" s="824"/>
      <c r="T756" s="824"/>
      <c r="U756" s="824"/>
      <c r="V756" s="824"/>
      <c r="W756" s="824"/>
    </row>
    <row r="757" spans="2:23" hidden="1">
      <c r="B757" s="515"/>
      <c r="C757" s="516"/>
      <c r="D757" s="515"/>
      <c r="E757" s="824"/>
      <c r="F757" s="824"/>
      <c r="G757" s="824"/>
      <c r="H757" s="824"/>
      <c r="I757" s="824"/>
      <c r="J757" s="824"/>
      <c r="K757" s="824"/>
      <c r="L757" s="824"/>
      <c r="M757" s="824"/>
      <c r="N757" s="824"/>
      <c r="O757" s="824"/>
      <c r="P757" s="824"/>
      <c r="Q757" s="824"/>
      <c r="R757" s="824"/>
      <c r="S757" s="824"/>
      <c r="T757" s="824"/>
      <c r="U757" s="824"/>
      <c r="V757" s="824"/>
      <c r="W757" s="824"/>
    </row>
    <row r="758" spans="2:23" hidden="1">
      <c r="B758" s="515"/>
      <c r="C758" s="516"/>
      <c r="D758" s="515"/>
      <c r="E758" s="824"/>
      <c r="F758" s="824"/>
      <c r="G758" s="824"/>
      <c r="H758" s="824"/>
      <c r="I758" s="824"/>
      <c r="J758" s="824"/>
      <c r="K758" s="824"/>
      <c r="L758" s="824"/>
      <c r="M758" s="824"/>
      <c r="N758" s="824"/>
      <c r="O758" s="824"/>
      <c r="P758" s="824"/>
      <c r="Q758" s="824"/>
      <c r="R758" s="824"/>
      <c r="S758" s="824"/>
      <c r="T758" s="824"/>
      <c r="U758" s="824"/>
      <c r="V758" s="824"/>
      <c r="W758" s="824"/>
    </row>
    <row r="759" spans="2:23" hidden="1">
      <c r="B759" s="515"/>
      <c r="C759" s="516"/>
      <c r="D759" s="515"/>
      <c r="E759" s="824"/>
      <c r="F759" s="824"/>
      <c r="G759" s="824"/>
      <c r="H759" s="824"/>
      <c r="I759" s="824"/>
      <c r="J759" s="824"/>
      <c r="K759" s="824"/>
      <c r="L759" s="824"/>
      <c r="M759" s="824"/>
      <c r="N759" s="824"/>
      <c r="O759" s="824"/>
      <c r="P759" s="824"/>
      <c r="Q759" s="824"/>
      <c r="R759" s="824"/>
      <c r="S759" s="824"/>
      <c r="T759" s="824"/>
      <c r="U759" s="824"/>
      <c r="V759" s="824"/>
      <c r="W759" s="824"/>
    </row>
    <row r="760" spans="2:23" hidden="1">
      <c r="B760" s="515"/>
      <c r="C760" s="516"/>
      <c r="D760" s="515"/>
      <c r="E760" s="824"/>
      <c r="F760" s="824"/>
      <c r="G760" s="824"/>
      <c r="H760" s="824"/>
      <c r="I760" s="824"/>
      <c r="J760" s="824"/>
      <c r="K760" s="824"/>
      <c r="L760" s="824"/>
      <c r="M760" s="824"/>
      <c r="N760" s="824"/>
      <c r="O760" s="824"/>
      <c r="P760" s="824"/>
      <c r="Q760" s="824"/>
      <c r="R760" s="824"/>
      <c r="S760" s="824"/>
      <c r="T760" s="824"/>
      <c r="U760" s="824"/>
      <c r="V760" s="824"/>
      <c r="W760" s="824"/>
    </row>
    <row r="761" spans="2:23" hidden="1">
      <c r="B761" s="515"/>
      <c r="C761" s="516"/>
      <c r="D761" s="515"/>
      <c r="E761" s="824"/>
      <c r="F761" s="824"/>
      <c r="G761" s="824"/>
      <c r="H761" s="824"/>
      <c r="I761" s="824"/>
      <c r="J761" s="824"/>
      <c r="K761" s="824"/>
      <c r="L761" s="824"/>
      <c r="M761" s="824"/>
      <c r="N761" s="824"/>
      <c r="O761" s="824"/>
      <c r="P761" s="824"/>
      <c r="Q761" s="824"/>
      <c r="R761" s="824"/>
      <c r="S761" s="824"/>
      <c r="T761" s="824"/>
      <c r="U761" s="824"/>
      <c r="V761" s="824"/>
      <c r="W761" s="824"/>
    </row>
    <row r="762" spans="2:23" hidden="1">
      <c r="B762" s="515"/>
      <c r="C762" s="516"/>
      <c r="D762" s="515"/>
      <c r="E762" s="824"/>
      <c r="F762" s="824"/>
      <c r="G762" s="824"/>
      <c r="H762" s="824"/>
      <c r="I762" s="824"/>
      <c r="J762" s="824"/>
      <c r="K762" s="824"/>
      <c r="L762" s="824"/>
      <c r="M762" s="824"/>
      <c r="N762" s="824"/>
      <c r="O762" s="824"/>
      <c r="P762" s="824"/>
      <c r="Q762" s="824"/>
      <c r="R762" s="824"/>
      <c r="S762" s="824"/>
      <c r="T762" s="824"/>
      <c r="U762" s="824"/>
      <c r="V762" s="824"/>
      <c r="W762" s="824"/>
    </row>
    <row r="763" spans="2:23" hidden="1">
      <c r="B763" s="515"/>
      <c r="C763" s="516"/>
      <c r="D763" s="515"/>
      <c r="E763" s="824"/>
      <c r="F763" s="824"/>
      <c r="G763" s="824"/>
      <c r="H763" s="824"/>
      <c r="I763" s="824"/>
      <c r="J763" s="824"/>
      <c r="K763" s="824"/>
      <c r="L763" s="824"/>
      <c r="M763" s="824"/>
      <c r="N763" s="824"/>
      <c r="O763" s="824"/>
      <c r="P763" s="824"/>
      <c r="Q763" s="824"/>
      <c r="R763" s="824"/>
      <c r="S763" s="824"/>
      <c r="T763" s="824"/>
      <c r="U763" s="824"/>
      <c r="V763" s="824"/>
      <c r="W763" s="824"/>
    </row>
    <row r="764" spans="2:23" hidden="1">
      <c r="B764" s="515"/>
      <c r="C764" s="516"/>
      <c r="D764" s="515"/>
      <c r="E764" s="824"/>
      <c r="F764" s="824"/>
      <c r="G764" s="824"/>
      <c r="H764" s="824"/>
      <c r="I764" s="824"/>
      <c r="J764" s="824"/>
      <c r="K764" s="824"/>
      <c r="L764" s="824"/>
      <c r="M764" s="824"/>
      <c r="N764" s="824"/>
      <c r="O764" s="824"/>
      <c r="P764" s="824"/>
      <c r="Q764" s="824"/>
      <c r="R764" s="824"/>
      <c r="S764" s="824"/>
      <c r="T764" s="824"/>
      <c r="U764" s="824"/>
      <c r="V764" s="824"/>
      <c r="W764" s="824"/>
    </row>
    <row r="765" spans="2:23" hidden="1">
      <c r="B765" s="515"/>
      <c r="C765" s="516"/>
      <c r="D765" s="515"/>
      <c r="E765" s="824"/>
      <c r="F765" s="824"/>
      <c r="G765" s="824"/>
      <c r="H765" s="824"/>
      <c r="I765" s="824"/>
      <c r="J765" s="824"/>
      <c r="K765" s="824"/>
      <c r="L765" s="824"/>
      <c r="M765" s="824"/>
      <c r="N765" s="824"/>
      <c r="O765" s="824"/>
      <c r="P765" s="824"/>
      <c r="Q765" s="824"/>
      <c r="R765" s="824"/>
      <c r="S765" s="824"/>
      <c r="T765" s="824"/>
      <c r="U765" s="824"/>
      <c r="V765" s="824"/>
      <c r="W765" s="824"/>
    </row>
    <row r="766" spans="2:23" hidden="1">
      <c r="B766" s="515"/>
      <c r="C766" s="516"/>
      <c r="D766" s="515"/>
      <c r="E766" s="824"/>
      <c r="F766" s="824"/>
      <c r="G766" s="824"/>
      <c r="H766" s="824"/>
      <c r="I766" s="824"/>
      <c r="J766" s="824"/>
      <c r="K766" s="824"/>
      <c r="L766" s="824"/>
      <c r="M766" s="824"/>
      <c r="N766" s="824"/>
      <c r="O766" s="824"/>
      <c r="P766" s="824"/>
      <c r="Q766" s="824"/>
      <c r="R766" s="824"/>
      <c r="S766" s="824"/>
      <c r="T766" s="824"/>
      <c r="U766" s="824"/>
      <c r="V766" s="824"/>
      <c r="W766" s="824"/>
    </row>
    <row r="767" spans="2:23" hidden="1">
      <c r="B767" s="515"/>
      <c r="C767" s="516"/>
      <c r="D767" s="515"/>
      <c r="E767" s="824"/>
      <c r="F767" s="824"/>
      <c r="G767" s="824"/>
      <c r="H767" s="824"/>
      <c r="I767" s="824"/>
      <c r="J767" s="824"/>
      <c r="K767" s="824"/>
      <c r="L767" s="824"/>
      <c r="M767" s="824"/>
      <c r="N767" s="824"/>
      <c r="O767" s="824"/>
      <c r="P767" s="824"/>
      <c r="Q767" s="824"/>
      <c r="R767" s="824"/>
      <c r="S767" s="824"/>
      <c r="T767" s="824"/>
      <c r="U767" s="824"/>
      <c r="V767" s="824"/>
      <c r="W767" s="824"/>
    </row>
    <row r="768" spans="2:23" hidden="1">
      <c r="B768" s="515"/>
      <c r="C768" s="516"/>
      <c r="D768" s="515"/>
      <c r="E768" s="824"/>
      <c r="F768" s="824"/>
      <c r="G768" s="824"/>
      <c r="H768" s="824"/>
      <c r="I768" s="824"/>
      <c r="J768" s="824"/>
      <c r="K768" s="824"/>
      <c r="L768" s="824"/>
      <c r="M768" s="824"/>
      <c r="N768" s="824"/>
      <c r="O768" s="824"/>
      <c r="P768" s="824"/>
      <c r="Q768" s="824"/>
      <c r="R768" s="824"/>
      <c r="S768" s="824"/>
      <c r="T768" s="824"/>
      <c r="U768" s="824"/>
      <c r="V768" s="824"/>
      <c r="W768" s="824"/>
    </row>
    <row r="769" spans="2:23" hidden="1">
      <c r="B769" s="515"/>
      <c r="C769" s="516"/>
      <c r="D769" s="515"/>
      <c r="E769" s="824"/>
      <c r="F769" s="824"/>
      <c r="G769" s="824"/>
      <c r="H769" s="824"/>
      <c r="I769" s="824"/>
      <c r="J769" s="824"/>
      <c r="K769" s="824"/>
      <c r="L769" s="824"/>
      <c r="M769" s="824"/>
      <c r="N769" s="824"/>
      <c r="O769" s="824"/>
      <c r="P769" s="824"/>
      <c r="Q769" s="824"/>
      <c r="R769" s="824"/>
      <c r="S769" s="824"/>
      <c r="T769" s="824"/>
      <c r="U769" s="824"/>
      <c r="V769" s="824"/>
      <c r="W769" s="824"/>
    </row>
    <row r="770" spans="2:23" hidden="1">
      <c r="B770" s="515"/>
      <c r="C770" s="516"/>
      <c r="D770" s="515"/>
      <c r="E770" s="824"/>
      <c r="F770" s="824"/>
      <c r="G770" s="824"/>
      <c r="H770" s="824"/>
      <c r="I770" s="824"/>
      <c r="J770" s="824"/>
      <c r="K770" s="824"/>
      <c r="L770" s="824"/>
      <c r="M770" s="824"/>
      <c r="N770" s="824"/>
      <c r="O770" s="824"/>
      <c r="P770" s="824"/>
      <c r="Q770" s="824"/>
      <c r="R770" s="824"/>
      <c r="S770" s="824"/>
      <c r="T770" s="824"/>
      <c r="U770" s="824"/>
      <c r="V770" s="824"/>
      <c r="W770" s="824"/>
    </row>
    <row r="771" spans="2:23" hidden="1">
      <c r="B771" s="515"/>
      <c r="C771" s="516"/>
      <c r="D771" s="515"/>
      <c r="E771" s="824"/>
      <c r="F771" s="824"/>
      <c r="G771" s="824"/>
      <c r="H771" s="824"/>
      <c r="I771" s="824"/>
      <c r="J771" s="824"/>
      <c r="K771" s="824"/>
      <c r="L771" s="824"/>
      <c r="M771" s="824"/>
      <c r="N771" s="824"/>
      <c r="O771" s="824"/>
      <c r="P771" s="824"/>
      <c r="Q771" s="824"/>
      <c r="R771" s="824"/>
      <c r="S771" s="824"/>
      <c r="T771" s="824"/>
      <c r="U771" s="824"/>
      <c r="V771" s="824"/>
      <c r="W771" s="824"/>
    </row>
    <row r="772" spans="2:23" hidden="1">
      <c r="B772" s="515"/>
      <c r="C772" s="516"/>
      <c r="D772" s="515"/>
      <c r="E772" s="824"/>
      <c r="F772" s="824"/>
      <c r="G772" s="824"/>
      <c r="H772" s="824"/>
      <c r="I772" s="824"/>
      <c r="J772" s="824"/>
      <c r="K772" s="824"/>
      <c r="L772" s="824"/>
      <c r="M772" s="824"/>
      <c r="N772" s="824"/>
      <c r="O772" s="824"/>
      <c r="P772" s="824"/>
      <c r="Q772" s="824"/>
      <c r="R772" s="824"/>
      <c r="S772" s="824"/>
      <c r="T772" s="824"/>
      <c r="U772" s="824"/>
      <c r="V772" s="824"/>
      <c r="W772" s="824"/>
    </row>
    <row r="773" spans="2:23" hidden="1">
      <c r="B773" s="515"/>
      <c r="C773" s="516"/>
      <c r="D773" s="515"/>
      <c r="E773" s="824"/>
      <c r="F773" s="824"/>
      <c r="G773" s="824"/>
      <c r="H773" s="824"/>
      <c r="I773" s="824"/>
      <c r="J773" s="824"/>
      <c r="K773" s="824"/>
      <c r="L773" s="824"/>
      <c r="M773" s="824"/>
      <c r="N773" s="824"/>
      <c r="O773" s="824"/>
      <c r="P773" s="824"/>
      <c r="Q773" s="824"/>
      <c r="R773" s="824"/>
      <c r="S773" s="824"/>
      <c r="T773" s="824"/>
      <c r="U773" s="824"/>
      <c r="V773" s="824"/>
      <c r="W773" s="824"/>
    </row>
    <row r="774" spans="2:23" hidden="1">
      <c r="B774" s="515"/>
      <c r="C774" s="516"/>
      <c r="D774" s="515"/>
      <c r="E774" s="824"/>
      <c r="F774" s="824"/>
      <c r="G774" s="824"/>
      <c r="H774" s="824"/>
      <c r="I774" s="824"/>
      <c r="J774" s="824"/>
      <c r="K774" s="824"/>
      <c r="L774" s="824"/>
      <c r="M774" s="824"/>
      <c r="N774" s="824"/>
      <c r="O774" s="824"/>
      <c r="P774" s="824"/>
      <c r="Q774" s="824"/>
      <c r="R774" s="824"/>
      <c r="S774" s="824"/>
      <c r="T774" s="824"/>
      <c r="U774" s="824"/>
      <c r="V774" s="824"/>
      <c r="W774" s="824"/>
    </row>
    <row r="775" spans="2:23" hidden="1">
      <c r="B775" s="515"/>
      <c r="C775" s="516"/>
      <c r="D775" s="515"/>
      <c r="E775" s="824"/>
      <c r="F775" s="824"/>
      <c r="G775" s="824"/>
      <c r="H775" s="824"/>
      <c r="I775" s="824"/>
      <c r="J775" s="824"/>
      <c r="K775" s="824"/>
      <c r="L775" s="824"/>
      <c r="M775" s="824"/>
      <c r="N775" s="824"/>
      <c r="O775" s="824"/>
      <c r="P775" s="824"/>
      <c r="Q775" s="824"/>
      <c r="R775" s="824"/>
      <c r="S775" s="824"/>
      <c r="T775" s="824"/>
      <c r="U775" s="824"/>
      <c r="V775" s="824"/>
      <c r="W775" s="824"/>
    </row>
    <row r="776" spans="2:23" hidden="1">
      <c r="B776" s="515"/>
      <c r="C776" s="516"/>
      <c r="D776" s="515"/>
      <c r="E776" s="824"/>
      <c r="F776" s="824"/>
      <c r="G776" s="824"/>
      <c r="H776" s="824"/>
      <c r="I776" s="824"/>
      <c r="J776" s="824"/>
      <c r="K776" s="824"/>
      <c r="L776" s="824"/>
      <c r="M776" s="824"/>
      <c r="N776" s="824"/>
      <c r="O776" s="824"/>
      <c r="P776" s="824"/>
      <c r="Q776" s="824"/>
      <c r="R776" s="824"/>
      <c r="S776" s="824"/>
      <c r="T776" s="824"/>
      <c r="U776" s="824"/>
      <c r="V776" s="824"/>
      <c r="W776" s="824"/>
    </row>
    <row r="777" spans="2:23" hidden="1">
      <c r="B777" s="515"/>
      <c r="C777" s="516"/>
      <c r="D777" s="515"/>
      <c r="E777" s="824"/>
      <c r="F777" s="824"/>
      <c r="G777" s="824"/>
      <c r="H777" s="824"/>
      <c r="I777" s="824"/>
      <c r="J777" s="824"/>
      <c r="K777" s="824"/>
      <c r="L777" s="824"/>
      <c r="M777" s="824"/>
      <c r="N777" s="824"/>
      <c r="O777" s="824"/>
      <c r="P777" s="824"/>
      <c r="Q777" s="824"/>
      <c r="R777" s="824"/>
      <c r="S777" s="824"/>
      <c r="T777" s="824"/>
      <c r="U777" s="824"/>
      <c r="V777" s="824"/>
      <c r="W777" s="824"/>
    </row>
    <row r="778" spans="2:23" hidden="1">
      <c r="B778" s="515"/>
      <c r="C778" s="516"/>
      <c r="D778" s="515"/>
      <c r="E778" s="824"/>
      <c r="F778" s="824"/>
      <c r="G778" s="824"/>
      <c r="H778" s="824"/>
      <c r="I778" s="824"/>
      <c r="J778" s="824"/>
      <c r="K778" s="824"/>
      <c r="L778" s="824"/>
      <c r="M778" s="824"/>
      <c r="N778" s="824"/>
      <c r="O778" s="824"/>
      <c r="P778" s="824"/>
      <c r="Q778" s="824"/>
      <c r="R778" s="824"/>
      <c r="S778" s="824"/>
      <c r="T778" s="824"/>
      <c r="U778" s="824"/>
      <c r="V778" s="824"/>
      <c r="W778" s="824"/>
    </row>
    <row r="779" spans="2:23" hidden="1">
      <c r="B779" s="515"/>
      <c r="C779" s="516"/>
      <c r="D779" s="515"/>
      <c r="E779" s="824"/>
      <c r="F779" s="824"/>
      <c r="G779" s="824"/>
      <c r="H779" s="824"/>
      <c r="I779" s="824"/>
      <c r="J779" s="824"/>
      <c r="K779" s="824"/>
      <c r="L779" s="824"/>
      <c r="M779" s="824"/>
      <c r="N779" s="824"/>
      <c r="O779" s="824"/>
      <c r="P779" s="824"/>
      <c r="Q779" s="824"/>
      <c r="R779" s="824"/>
      <c r="S779" s="824"/>
      <c r="T779" s="824"/>
      <c r="U779" s="824"/>
      <c r="V779" s="824"/>
      <c r="W779" s="824"/>
    </row>
    <row r="780" spans="2:23" hidden="1">
      <c r="B780" s="515"/>
      <c r="C780" s="516"/>
      <c r="D780" s="515"/>
      <c r="E780" s="824"/>
      <c r="F780" s="824"/>
      <c r="G780" s="824"/>
      <c r="H780" s="824"/>
      <c r="I780" s="824"/>
      <c r="J780" s="824"/>
      <c r="K780" s="824"/>
      <c r="L780" s="824"/>
      <c r="M780" s="824"/>
      <c r="N780" s="824"/>
      <c r="O780" s="824"/>
      <c r="P780" s="824"/>
      <c r="Q780" s="824"/>
      <c r="R780" s="824"/>
      <c r="S780" s="824"/>
      <c r="T780" s="824"/>
      <c r="U780" s="824"/>
      <c r="V780" s="824"/>
      <c r="W780" s="824"/>
    </row>
    <row r="781" spans="2:23" hidden="1">
      <c r="B781" s="515"/>
      <c r="C781" s="516"/>
      <c r="D781" s="515"/>
      <c r="E781" s="824"/>
      <c r="F781" s="824"/>
      <c r="G781" s="824"/>
      <c r="H781" s="824"/>
      <c r="I781" s="824"/>
      <c r="J781" s="824"/>
      <c r="K781" s="824"/>
      <c r="L781" s="824"/>
      <c r="M781" s="824"/>
      <c r="N781" s="824"/>
      <c r="O781" s="824"/>
      <c r="P781" s="824"/>
      <c r="Q781" s="824"/>
      <c r="R781" s="824"/>
      <c r="S781" s="824"/>
      <c r="T781" s="824"/>
      <c r="U781" s="824"/>
      <c r="V781" s="824"/>
      <c r="W781" s="824"/>
    </row>
    <row r="782" spans="2:23" hidden="1">
      <c r="B782" s="515"/>
      <c r="C782" s="516"/>
      <c r="D782" s="515"/>
      <c r="E782" s="824"/>
      <c r="F782" s="824"/>
      <c r="G782" s="824"/>
      <c r="H782" s="824"/>
      <c r="I782" s="824"/>
      <c r="J782" s="824"/>
      <c r="K782" s="824"/>
      <c r="L782" s="824"/>
      <c r="M782" s="824"/>
      <c r="N782" s="824"/>
      <c r="O782" s="824"/>
      <c r="P782" s="824"/>
      <c r="Q782" s="824"/>
      <c r="R782" s="824"/>
      <c r="S782" s="824"/>
      <c r="T782" s="824"/>
      <c r="U782" s="824"/>
      <c r="V782" s="824"/>
      <c r="W782" s="824"/>
    </row>
    <row r="783" spans="2:23" hidden="1">
      <c r="B783" s="515"/>
      <c r="C783" s="516"/>
      <c r="D783" s="515"/>
      <c r="E783" s="824"/>
      <c r="F783" s="824"/>
      <c r="G783" s="824"/>
      <c r="H783" s="824"/>
      <c r="I783" s="824"/>
      <c r="J783" s="824"/>
      <c r="K783" s="824"/>
      <c r="L783" s="824"/>
      <c r="M783" s="824"/>
      <c r="N783" s="824"/>
      <c r="O783" s="824"/>
      <c r="P783" s="824"/>
      <c r="Q783" s="824"/>
      <c r="R783" s="824"/>
      <c r="S783" s="824"/>
      <c r="T783" s="824"/>
      <c r="U783" s="824"/>
      <c r="V783" s="824"/>
      <c r="W783" s="824"/>
    </row>
    <row r="784" spans="2:23" hidden="1">
      <c r="B784" s="515"/>
      <c r="C784" s="516"/>
      <c r="D784" s="515"/>
      <c r="E784" s="824"/>
      <c r="F784" s="824"/>
      <c r="G784" s="824"/>
      <c r="H784" s="824"/>
      <c r="I784" s="824"/>
      <c r="J784" s="824"/>
      <c r="K784" s="824"/>
      <c r="L784" s="824"/>
      <c r="M784" s="824"/>
      <c r="N784" s="824"/>
      <c r="O784" s="824"/>
      <c r="P784" s="824"/>
      <c r="Q784" s="824"/>
      <c r="R784" s="824"/>
      <c r="S784" s="824"/>
      <c r="T784" s="824"/>
      <c r="U784" s="824"/>
      <c r="V784" s="824"/>
      <c r="W784" s="824"/>
    </row>
    <row r="785" spans="2:23" hidden="1">
      <c r="B785" s="515"/>
      <c r="C785" s="516"/>
      <c r="D785" s="515"/>
      <c r="E785" s="824"/>
      <c r="F785" s="824"/>
      <c r="G785" s="824"/>
      <c r="H785" s="824"/>
      <c r="I785" s="824"/>
      <c r="J785" s="824"/>
      <c r="K785" s="824"/>
      <c r="L785" s="824"/>
      <c r="M785" s="824"/>
      <c r="N785" s="824"/>
      <c r="O785" s="824"/>
      <c r="P785" s="824"/>
      <c r="Q785" s="824"/>
      <c r="R785" s="824"/>
      <c r="S785" s="824"/>
      <c r="T785" s="824"/>
      <c r="U785" s="824"/>
      <c r="V785" s="824"/>
      <c r="W785" s="824"/>
    </row>
    <row r="786" spans="2:23" hidden="1">
      <c r="B786" s="515"/>
      <c r="C786" s="516"/>
      <c r="D786" s="515"/>
      <c r="E786" s="824"/>
      <c r="F786" s="824"/>
      <c r="G786" s="824"/>
      <c r="H786" s="824"/>
      <c r="I786" s="824"/>
      <c r="J786" s="824"/>
      <c r="K786" s="824"/>
      <c r="L786" s="824"/>
      <c r="M786" s="824"/>
      <c r="N786" s="824"/>
      <c r="O786" s="824"/>
      <c r="P786" s="824"/>
      <c r="Q786" s="824"/>
      <c r="R786" s="824"/>
      <c r="S786" s="824"/>
      <c r="T786" s="824"/>
      <c r="U786" s="824"/>
      <c r="V786" s="824"/>
      <c r="W786" s="824"/>
    </row>
    <row r="787" spans="2:23" hidden="1">
      <c r="B787" s="515"/>
      <c r="C787" s="516"/>
      <c r="D787" s="515"/>
      <c r="E787" s="824"/>
      <c r="F787" s="824"/>
      <c r="G787" s="824"/>
      <c r="H787" s="824"/>
      <c r="I787" s="824"/>
      <c r="J787" s="824"/>
      <c r="K787" s="824"/>
      <c r="L787" s="824"/>
      <c r="M787" s="824"/>
      <c r="N787" s="824"/>
      <c r="O787" s="824"/>
      <c r="P787" s="824"/>
      <c r="Q787" s="824"/>
      <c r="R787" s="824"/>
      <c r="S787" s="824"/>
      <c r="T787" s="824"/>
      <c r="U787" s="824"/>
      <c r="V787" s="824"/>
      <c r="W787" s="824"/>
    </row>
    <row r="788" spans="2:23" hidden="1">
      <c r="B788" s="515"/>
      <c r="C788" s="516"/>
      <c r="D788" s="515"/>
      <c r="E788" s="824"/>
      <c r="F788" s="824"/>
      <c r="G788" s="824"/>
      <c r="H788" s="824"/>
      <c r="I788" s="824"/>
      <c r="J788" s="824"/>
      <c r="K788" s="824"/>
      <c r="L788" s="824"/>
      <c r="M788" s="824"/>
      <c r="N788" s="824"/>
      <c r="O788" s="824"/>
      <c r="P788" s="824"/>
      <c r="Q788" s="824"/>
      <c r="R788" s="824"/>
      <c r="S788" s="824"/>
      <c r="T788" s="824"/>
      <c r="U788" s="824"/>
      <c r="V788" s="824"/>
      <c r="W788" s="824"/>
    </row>
    <row r="789" spans="2:23" hidden="1">
      <c r="B789" s="515"/>
      <c r="C789" s="516"/>
      <c r="D789" s="515"/>
      <c r="E789" s="824"/>
      <c r="F789" s="824"/>
      <c r="G789" s="824"/>
      <c r="H789" s="824"/>
      <c r="I789" s="824"/>
      <c r="J789" s="824"/>
      <c r="K789" s="824"/>
      <c r="L789" s="824"/>
      <c r="M789" s="824"/>
      <c r="N789" s="824"/>
      <c r="O789" s="824"/>
      <c r="P789" s="824"/>
      <c r="Q789" s="824"/>
      <c r="R789" s="824"/>
      <c r="S789" s="824"/>
      <c r="T789" s="824"/>
      <c r="U789" s="824"/>
      <c r="V789" s="824"/>
      <c r="W789" s="824"/>
    </row>
    <row r="790" spans="2:23" hidden="1">
      <c r="B790" s="515"/>
      <c r="C790" s="516"/>
      <c r="D790" s="515"/>
      <c r="E790" s="824"/>
      <c r="F790" s="824"/>
      <c r="G790" s="824"/>
      <c r="H790" s="824"/>
      <c r="I790" s="824"/>
      <c r="J790" s="824"/>
      <c r="K790" s="824"/>
      <c r="L790" s="824"/>
      <c r="M790" s="824"/>
      <c r="N790" s="824"/>
      <c r="O790" s="824"/>
      <c r="P790" s="824"/>
      <c r="Q790" s="824"/>
      <c r="R790" s="824"/>
      <c r="S790" s="824"/>
      <c r="T790" s="824"/>
      <c r="U790" s="824"/>
      <c r="V790" s="824"/>
      <c r="W790" s="824"/>
    </row>
    <row r="791" spans="2:23" hidden="1">
      <c r="B791" s="515"/>
      <c r="C791" s="516"/>
      <c r="D791" s="515"/>
      <c r="E791" s="824"/>
      <c r="F791" s="824"/>
      <c r="G791" s="824"/>
      <c r="H791" s="824"/>
      <c r="I791" s="824"/>
      <c r="J791" s="824"/>
      <c r="K791" s="824"/>
      <c r="L791" s="824"/>
      <c r="M791" s="824"/>
      <c r="N791" s="824"/>
      <c r="O791" s="824"/>
      <c r="P791" s="824"/>
      <c r="Q791" s="824"/>
      <c r="R791" s="824"/>
      <c r="S791" s="824"/>
      <c r="T791" s="824"/>
      <c r="U791" s="824"/>
      <c r="V791" s="824"/>
      <c r="W791" s="824"/>
    </row>
    <row r="792" spans="2:23" hidden="1">
      <c r="B792" s="515"/>
      <c r="C792" s="516"/>
      <c r="D792" s="515"/>
      <c r="E792" s="824"/>
      <c r="F792" s="824"/>
      <c r="G792" s="824"/>
      <c r="H792" s="824"/>
      <c r="I792" s="824"/>
      <c r="J792" s="824"/>
      <c r="K792" s="824"/>
      <c r="L792" s="824"/>
      <c r="M792" s="824"/>
      <c r="N792" s="824"/>
      <c r="O792" s="824"/>
      <c r="P792" s="824"/>
      <c r="Q792" s="824"/>
      <c r="R792" s="824"/>
      <c r="S792" s="824"/>
      <c r="T792" s="824"/>
      <c r="U792" s="824"/>
      <c r="V792" s="824"/>
      <c r="W792" s="824"/>
    </row>
    <row r="793" spans="2:23" hidden="1">
      <c r="B793" s="515"/>
      <c r="C793" s="516"/>
      <c r="D793" s="515"/>
      <c r="E793" s="824"/>
      <c r="F793" s="824"/>
      <c r="G793" s="824"/>
      <c r="H793" s="824"/>
      <c r="I793" s="824"/>
      <c r="J793" s="824"/>
      <c r="K793" s="824"/>
      <c r="L793" s="824"/>
      <c r="M793" s="824"/>
      <c r="N793" s="824"/>
      <c r="O793" s="824"/>
      <c r="P793" s="824"/>
      <c r="Q793" s="824"/>
      <c r="R793" s="824"/>
      <c r="S793" s="824"/>
      <c r="T793" s="824"/>
      <c r="U793" s="824"/>
      <c r="V793" s="824"/>
      <c r="W793" s="824"/>
    </row>
    <row r="794" spans="2:23" hidden="1">
      <c r="B794" s="515"/>
      <c r="C794" s="516"/>
      <c r="D794" s="515"/>
      <c r="E794" s="824"/>
      <c r="F794" s="824"/>
      <c r="G794" s="824"/>
      <c r="H794" s="824"/>
      <c r="I794" s="824"/>
      <c r="J794" s="824"/>
      <c r="K794" s="824"/>
      <c r="L794" s="824"/>
      <c r="M794" s="824"/>
      <c r="N794" s="824"/>
      <c r="O794" s="824"/>
      <c r="P794" s="824"/>
      <c r="Q794" s="824"/>
      <c r="R794" s="824"/>
      <c r="S794" s="824"/>
      <c r="T794" s="824"/>
      <c r="U794" s="824"/>
      <c r="V794" s="824"/>
      <c r="W794" s="824"/>
    </row>
    <row r="795" spans="2:23" hidden="1">
      <c r="B795" s="515"/>
      <c r="C795" s="516"/>
      <c r="D795" s="515"/>
      <c r="E795" s="824"/>
      <c r="F795" s="824"/>
      <c r="G795" s="824"/>
      <c r="H795" s="824"/>
      <c r="I795" s="824"/>
      <c r="J795" s="824"/>
      <c r="K795" s="824"/>
      <c r="L795" s="824"/>
      <c r="M795" s="824"/>
      <c r="N795" s="824"/>
      <c r="O795" s="824"/>
      <c r="P795" s="824"/>
      <c r="Q795" s="824"/>
      <c r="R795" s="824"/>
      <c r="S795" s="824"/>
      <c r="T795" s="824"/>
      <c r="U795" s="824"/>
      <c r="V795" s="824"/>
      <c r="W795" s="824"/>
    </row>
    <row r="796" spans="2:23" hidden="1">
      <c r="B796" s="515"/>
      <c r="C796" s="516"/>
      <c r="D796" s="515"/>
      <c r="E796" s="824"/>
      <c r="F796" s="824"/>
      <c r="G796" s="824"/>
      <c r="H796" s="824"/>
      <c r="I796" s="824"/>
      <c r="J796" s="824"/>
      <c r="K796" s="824"/>
      <c r="L796" s="824"/>
      <c r="M796" s="824"/>
      <c r="N796" s="824"/>
      <c r="O796" s="824"/>
      <c r="P796" s="824"/>
      <c r="Q796" s="824"/>
      <c r="R796" s="824"/>
      <c r="S796" s="824"/>
      <c r="T796" s="824"/>
      <c r="U796" s="824"/>
      <c r="V796" s="824"/>
      <c r="W796" s="824"/>
    </row>
    <row r="797" spans="2:23" hidden="1">
      <c r="B797" s="515"/>
      <c r="C797" s="516"/>
      <c r="D797" s="515"/>
      <c r="E797" s="824"/>
      <c r="F797" s="824"/>
      <c r="G797" s="824"/>
      <c r="H797" s="824"/>
      <c r="I797" s="824"/>
      <c r="J797" s="824"/>
      <c r="K797" s="824"/>
      <c r="L797" s="824"/>
      <c r="M797" s="824"/>
      <c r="N797" s="824"/>
      <c r="O797" s="824"/>
      <c r="P797" s="824"/>
      <c r="Q797" s="824"/>
      <c r="R797" s="824"/>
      <c r="S797" s="824"/>
      <c r="T797" s="824"/>
      <c r="U797" s="824"/>
      <c r="V797" s="824"/>
      <c r="W797" s="824"/>
    </row>
    <row r="798" spans="2:23" hidden="1">
      <c r="B798" s="515"/>
      <c r="C798" s="516"/>
      <c r="D798" s="515"/>
      <c r="E798" s="824"/>
      <c r="F798" s="824"/>
      <c r="G798" s="824"/>
      <c r="H798" s="824"/>
      <c r="I798" s="824"/>
      <c r="J798" s="824"/>
      <c r="K798" s="824"/>
      <c r="L798" s="824"/>
      <c r="M798" s="824"/>
      <c r="N798" s="824"/>
      <c r="O798" s="824"/>
      <c r="P798" s="824"/>
      <c r="Q798" s="824"/>
      <c r="R798" s="824"/>
      <c r="S798" s="824"/>
      <c r="T798" s="824"/>
      <c r="U798" s="824"/>
      <c r="V798" s="824"/>
      <c r="W798" s="824"/>
    </row>
    <row r="799" spans="2:23" hidden="1">
      <c r="B799" s="515"/>
      <c r="C799" s="516"/>
      <c r="D799" s="515"/>
      <c r="E799" s="824"/>
      <c r="F799" s="824"/>
      <c r="G799" s="824"/>
      <c r="H799" s="824"/>
      <c r="I799" s="824"/>
      <c r="J799" s="824"/>
      <c r="K799" s="824"/>
      <c r="L799" s="824"/>
      <c r="M799" s="824"/>
      <c r="N799" s="824"/>
      <c r="O799" s="824"/>
      <c r="P799" s="824"/>
      <c r="Q799" s="824"/>
      <c r="R799" s="824"/>
      <c r="S799" s="824"/>
      <c r="T799" s="824"/>
      <c r="U799" s="824"/>
      <c r="V799" s="824"/>
      <c r="W799" s="824"/>
    </row>
    <row r="800" spans="2:23" hidden="1">
      <c r="B800" s="515"/>
      <c r="C800" s="516"/>
      <c r="D800" s="515"/>
      <c r="E800" s="824"/>
      <c r="F800" s="824"/>
      <c r="G800" s="824"/>
      <c r="H800" s="824"/>
      <c r="I800" s="824"/>
      <c r="J800" s="824"/>
      <c r="K800" s="824"/>
      <c r="L800" s="824"/>
      <c r="M800" s="824"/>
      <c r="N800" s="824"/>
      <c r="O800" s="824"/>
      <c r="P800" s="824"/>
      <c r="Q800" s="824"/>
      <c r="R800" s="824"/>
      <c r="S800" s="824"/>
      <c r="T800" s="824"/>
      <c r="U800" s="824"/>
      <c r="V800" s="824"/>
      <c r="W800" s="824"/>
    </row>
    <row r="801" spans="2:23" hidden="1">
      <c r="B801" s="515"/>
      <c r="C801" s="516"/>
      <c r="D801" s="515"/>
      <c r="E801" s="824"/>
      <c r="F801" s="824"/>
      <c r="G801" s="824"/>
      <c r="H801" s="824"/>
      <c r="I801" s="824"/>
      <c r="J801" s="824"/>
      <c r="K801" s="824"/>
      <c r="L801" s="824"/>
      <c r="M801" s="824"/>
      <c r="N801" s="824"/>
      <c r="O801" s="824"/>
      <c r="P801" s="824"/>
      <c r="Q801" s="824"/>
      <c r="R801" s="824"/>
      <c r="S801" s="824"/>
      <c r="T801" s="824"/>
      <c r="U801" s="824"/>
      <c r="V801" s="824"/>
      <c r="W801" s="824"/>
    </row>
    <row r="802" spans="2:23" hidden="1">
      <c r="B802" s="515"/>
      <c r="C802" s="516"/>
      <c r="D802" s="515"/>
      <c r="E802" s="824"/>
      <c r="F802" s="824"/>
      <c r="G802" s="824"/>
      <c r="H802" s="824"/>
      <c r="I802" s="824"/>
      <c r="J802" s="824"/>
      <c r="K802" s="824"/>
      <c r="L802" s="824"/>
      <c r="M802" s="824"/>
      <c r="N802" s="824"/>
      <c r="O802" s="824"/>
      <c r="P802" s="824"/>
      <c r="Q802" s="824"/>
      <c r="R802" s="824"/>
      <c r="S802" s="824"/>
      <c r="T802" s="824"/>
      <c r="U802" s="824"/>
      <c r="V802" s="824"/>
      <c r="W802" s="824"/>
    </row>
    <row r="803" spans="2:23" hidden="1">
      <c r="B803" s="515"/>
      <c r="C803" s="516"/>
      <c r="D803" s="515"/>
      <c r="E803" s="824"/>
      <c r="F803" s="824"/>
      <c r="G803" s="824"/>
      <c r="H803" s="824"/>
      <c r="I803" s="824"/>
      <c r="J803" s="824"/>
      <c r="K803" s="824"/>
      <c r="L803" s="824"/>
      <c r="M803" s="824"/>
      <c r="N803" s="824"/>
      <c r="O803" s="824"/>
      <c r="P803" s="824"/>
      <c r="Q803" s="824"/>
      <c r="R803" s="824"/>
      <c r="S803" s="824"/>
      <c r="T803" s="824"/>
      <c r="U803" s="824"/>
      <c r="V803" s="824"/>
      <c r="W803" s="824"/>
    </row>
    <row r="804" spans="2:23" hidden="1">
      <c r="B804" s="515"/>
      <c r="C804" s="516"/>
      <c r="D804" s="515"/>
      <c r="E804" s="824"/>
      <c r="F804" s="824"/>
      <c r="G804" s="824"/>
      <c r="H804" s="824"/>
      <c r="I804" s="824"/>
      <c r="J804" s="824"/>
      <c r="K804" s="824"/>
      <c r="L804" s="824"/>
      <c r="M804" s="824"/>
      <c r="N804" s="824"/>
      <c r="O804" s="824"/>
      <c r="P804" s="824"/>
      <c r="Q804" s="824"/>
      <c r="R804" s="824"/>
      <c r="S804" s="824"/>
      <c r="T804" s="824"/>
      <c r="U804" s="824"/>
      <c r="V804" s="824"/>
      <c r="W804" s="824"/>
    </row>
    <row r="805" spans="2:23" hidden="1">
      <c r="B805" s="515"/>
      <c r="C805" s="516"/>
      <c r="D805" s="515"/>
      <c r="E805" s="824"/>
      <c r="F805" s="824"/>
      <c r="G805" s="824"/>
      <c r="H805" s="824"/>
      <c r="I805" s="824"/>
      <c r="J805" s="824"/>
      <c r="K805" s="824"/>
      <c r="L805" s="824"/>
      <c r="M805" s="824"/>
      <c r="N805" s="824"/>
      <c r="O805" s="824"/>
      <c r="P805" s="824"/>
      <c r="Q805" s="824"/>
      <c r="R805" s="824"/>
      <c r="S805" s="824"/>
      <c r="T805" s="824"/>
      <c r="U805" s="824"/>
      <c r="V805" s="824"/>
      <c r="W805" s="824"/>
    </row>
    <row r="806" spans="2:23" hidden="1">
      <c r="B806" s="515"/>
      <c r="C806" s="516"/>
      <c r="D806" s="515"/>
      <c r="E806" s="824"/>
      <c r="F806" s="824"/>
      <c r="G806" s="824"/>
      <c r="H806" s="824"/>
      <c r="I806" s="824"/>
      <c r="J806" s="824"/>
      <c r="K806" s="824"/>
      <c r="L806" s="824"/>
      <c r="M806" s="824"/>
      <c r="N806" s="824"/>
      <c r="O806" s="824"/>
      <c r="P806" s="824"/>
      <c r="Q806" s="824"/>
      <c r="R806" s="824"/>
      <c r="S806" s="824"/>
      <c r="T806" s="824"/>
      <c r="U806" s="824"/>
      <c r="V806" s="824"/>
      <c r="W806" s="824"/>
    </row>
    <row r="807" spans="2:23" hidden="1">
      <c r="B807" s="515"/>
      <c r="C807" s="516"/>
      <c r="D807" s="515"/>
      <c r="E807" s="824"/>
      <c r="F807" s="824"/>
      <c r="G807" s="824"/>
      <c r="H807" s="824"/>
      <c r="I807" s="824"/>
      <c r="J807" s="824"/>
      <c r="K807" s="824"/>
      <c r="L807" s="824"/>
      <c r="M807" s="824"/>
      <c r="N807" s="824"/>
      <c r="O807" s="824"/>
      <c r="P807" s="824"/>
      <c r="Q807" s="824"/>
      <c r="R807" s="824"/>
      <c r="S807" s="824"/>
      <c r="T807" s="824"/>
      <c r="U807" s="824"/>
      <c r="V807" s="824"/>
      <c r="W807" s="824"/>
    </row>
    <row r="808" spans="2:23" hidden="1">
      <c r="B808" s="515"/>
      <c r="C808" s="516"/>
      <c r="D808" s="515"/>
      <c r="E808" s="824"/>
      <c r="F808" s="824"/>
      <c r="G808" s="824"/>
      <c r="H808" s="824"/>
      <c r="I808" s="824"/>
      <c r="J808" s="824"/>
      <c r="K808" s="824"/>
      <c r="L808" s="824"/>
      <c r="M808" s="824"/>
      <c r="N808" s="824"/>
      <c r="O808" s="824"/>
      <c r="P808" s="824"/>
      <c r="Q808" s="824"/>
      <c r="R808" s="824"/>
      <c r="S808" s="824"/>
      <c r="T808" s="824"/>
      <c r="U808" s="824"/>
      <c r="V808" s="824"/>
      <c r="W808" s="824"/>
    </row>
    <row r="809" spans="2:23" hidden="1">
      <c r="B809" s="515"/>
      <c r="C809" s="516"/>
      <c r="D809" s="515"/>
      <c r="E809" s="824"/>
      <c r="F809" s="824"/>
      <c r="G809" s="824"/>
      <c r="H809" s="824"/>
      <c r="I809" s="824"/>
      <c r="J809" s="824"/>
      <c r="K809" s="824"/>
      <c r="L809" s="824"/>
      <c r="M809" s="824"/>
      <c r="N809" s="824"/>
      <c r="O809" s="824"/>
      <c r="P809" s="824"/>
      <c r="Q809" s="824"/>
      <c r="R809" s="824"/>
      <c r="S809" s="824"/>
      <c r="T809" s="824"/>
      <c r="U809" s="824"/>
      <c r="V809" s="824"/>
      <c r="W809" s="824"/>
    </row>
    <row r="810" spans="2:23" hidden="1">
      <c r="B810" s="515"/>
      <c r="C810" s="516"/>
      <c r="D810" s="515"/>
      <c r="E810" s="824"/>
      <c r="F810" s="824"/>
      <c r="G810" s="824"/>
      <c r="H810" s="824"/>
      <c r="I810" s="824"/>
      <c r="J810" s="824"/>
      <c r="K810" s="824"/>
      <c r="L810" s="824"/>
      <c r="M810" s="824"/>
      <c r="N810" s="824"/>
      <c r="O810" s="824"/>
      <c r="P810" s="824"/>
      <c r="Q810" s="824"/>
      <c r="R810" s="824"/>
      <c r="S810" s="824"/>
      <c r="T810" s="824"/>
      <c r="U810" s="824"/>
      <c r="V810" s="824"/>
      <c r="W810" s="824"/>
    </row>
    <row r="811" spans="2:23" hidden="1">
      <c r="B811" s="515"/>
      <c r="C811" s="516"/>
      <c r="D811" s="515"/>
      <c r="E811" s="824"/>
      <c r="F811" s="824"/>
      <c r="G811" s="824"/>
      <c r="H811" s="824"/>
      <c r="I811" s="824"/>
      <c r="J811" s="824"/>
      <c r="K811" s="824"/>
      <c r="L811" s="824"/>
      <c r="M811" s="824"/>
      <c r="N811" s="824"/>
      <c r="O811" s="824"/>
      <c r="P811" s="824"/>
      <c r="Q811" s="824"/>
      <c r="R811" s="824"/>
      <c r="S811" s="824"/>
      <c r="T811" s="824"/>
      <c r="U811" s="824"/>
      <c r="V811" s="824"/>
      <c r="W811" s="824"/>
    </row>
    <row r="812" spans="2:23" hidden="1">
      <c r="B812" s="515"/>
      <c r="C812" s="516"/>
      <c r="D812" s="515"/>
      <c r="E812" s="824"/>
      <c r="F812" s="824"/>
      <c r="G812" s="824"/>
      <c r="H812" s="824"/>
      <c r="I812" s="824"/>
      <c r="J812" s="824"/>
      <c r="K812" s="824"/>
      <c r="L812" s="824"/>
      <c r="M812" s="824"/>
      <c r="N812" s="824"/>
      <c r="O812" s="824"/>
      <c r="P812" s="824"/>
      <c r="Q812" s="824"/>
      <c r="R812" s="824"/>
      <c r="S812" s="824"/>
      <c r="T812" s="824"/>
      <c r="U812" s="824"/>
      <c r="V812" s="824"/>
      <c r="W812" s="824"/>
    </row>
    <row r="813" spans="2:23" hidden="1">
      <c r="B813" s="515"/>
      <c r="C813" s="516"/>
      <c r="D813" s="515"/>
      <c r="E813" s="824"/>
      <c r="F813" s="824"/>
      <c r="G813" s="824"/>
      <c r="H813" s="824"/>
      <c r="I813" s="824"/>
      <c r="J813" s="824"/>
      <c r="K813" s="824"/>
      <c r="L813" s="824"/>
      <c r="M813" s="824"/>
      <c r="N813" s="824"/>
      <c r="O813" s="824"/>
      <c r="P813" s="824"/>
      <c r="Q813" s="824"/>
      <c r="R813" s="824"/>
      <c r="S813" s="824"/>
      <c r="T813" s="824"/>
      <c r="U813" s="824"/>
      <c r="V813" s="824"/>
      <c r="W813" s="824"/>
    </row>
    <row r="814" spans="2:23" hidden="1">
      <c r="B814" s="515"/>
      <c r="C814" s="516"/>
      <c r="D814" s="515"/>
      <c r="E814" s="824"/>
      <c r="F814" s="824"/>
      <c r="G814" s="824"/>
      <c r="H814" s="824"/>
      <c r="I814" s="824"/>
      <c r="J814" s="824"/>
      <c r="K814" s="824"/>
      <c r="L814" s="824"/>
      <c r="M814" s="824"/>
      <c r="N814" s="824"/>
      <c r="O814" s="824"/>
      <c r="P814" s="824"/>
      <c r="Q814" s="824"/>
      <c r="R814" s="824"/>
      <c r="S814" s="824"/>
      <c r="T814" s="824"/>
      <c r="U814" s="824"/>
      <c r="V814" s="824"/>
      <c r="W814" s="824"/>
    </row>
    <row r="815" spans="2:23" hidden="1">
      <c r="B815" s="515"/>
      <c r="C815" s="516"/>
      <c r="D815" s="515"/>
      <c r="E815" s="824"/>
      <c r="F815" s="824"/>
      <c r="G815" s="824"/>
      <c r="H815" s="824"/>
      <c r="I815" s="824"/>
      <c r="J815" s="824"/>
      <c r="K815" s="824"/>
      <c r="L815" s="824"/>
      <c r="M815" s="824"/>
      <c r="N815" s="824"/>
      <c r="O815" s="824"/>
      <c r="P815" s="824"/>
      <c r="Q815" s="824"/>
      <c r="R815" s="824"/>
      <c r="S815" s="824"/>
      <c r="T815" s="824"/>
      <c r="U815" s="824"/>
      <c r="V815" s="824"/>
      <c r="W815" s="824"/>
    </row>
    <row r="816" spans="2:23" hidden="1">
      <c r="B816" s="515"/>
      <c r="C816" s="516"/>
      <c r="D816" s="515"/>
      <c r="E816" s="824"/>
      <c r="F816" s="824"/>
      <c r="G816" s="824"/>
      <c r="H816" s="824"/>
      <c r="I816" s="824"/>
      <c r="J816" s="824"/>
      <c r="K816" s="824"/>
      <c r="L816" s="824"/>
      <c r="M816" s="824"/>
      <c r="N816" s="824"/>
      <c r="O816" s="824"/>
      <c r="P816" s="824"/>
      <c r="Q816" s="824"/>
      <c r="R816" s="824"/>
      <c r="S816" s="824"/>
      <c r="T816" s="824"/>
      <c r="U816" s="824"/>
      <c r="V816" s="824"/>
      <c r="W816" s="824"/>
    </row>
    <row r="817" spans="2:23" hidden="1">
      <c r="B817" s="515"/>
      <c r="C817" s="516"/>
      <c r="D817" s="515"/>
      <c r="E817" s="824"/>
      <c r="F817" s="824"/>
      <c r="G817" s="824"/>
      <c r="H817" s="824"/>
      <c r="I817" s="824"/>
      <c r="J817" s="824"/>
      <c r="K817" s="824"/>
      <c r="L817" s="824"/>
      <c r="M817" s="824"/>
      <c r="N817" s="824"/>
      <c r="O817" s="824"/>
      <c r="P817" s="824"/>
      <c r="Q817" s="824"/>
      <c r="R817" s="824"/>
      <c r="S817" s="824"/>
      <c r="T817" s="824"/>
      <c r="U817" s="824"/>
      <c r="V817" s="824"/>
      <c r="W817" s="824"/>
    </row>
    <row r="818" spans="2:23" hidden="1">
      <c r="B818" s="515"/>
      <c r="C818" s="516"/>
      <c r="D818" s="515"/>
      <c r="E818" s="824"/>
      <c r="F818" s="824"/>
      <c r="G818" s="824"/>
      <c r="H818" s="824"/>
      <c r="I818" s="824"/>
      <c r="J818" s="824"/>
      <c r="K818" s="824"/>
      <c r="L818" s="824"/>
      <c r="M818" s="824"/>
      <c r="N818" s="824"/>
      <c r="O818" s="824"/>
      <c r="P818" s="824"/>
      <c r="Q818" s="824"/>
      <c r="R818" s="824"/>
      <c r="S818" s="824"/>
      <c r="T818" s="824"/>
      <c r="U818" s="824"/>
      <c r="V818" s="824"/>
      <c r="W818" s="824"/>
    </row>
    <row r="819" spans="2:23" hidden="1">
      <c r="B819" s="515"/>
      <c r="C819" s="516"/>
      <c r="D819" s="515"/>
      <c r="E819" s="824"/>
      <c r="F819" s="824"/>
      <c r="G819" s="824"/>
      <c r="H819" s="824"/>
      <c r="I819" s="824"/>
      <c r="J819" s="824"/>
      <c r="K819" s="824"/>
      <c r="L819" s="824"/>
      <c r="M819" s="824"/>
      <c r="N819" s="824"/>
      <c r="O819" s="824"/>
      <c r="P819" s="824"/>
      <c r="Q819" s="824"/>
      <c r="R819" s="824"/>
      <c r="S819" s="824"/>
      <c r="T819" s="824"/>
      <c r="U819" s="824"/>
      <c r="V819" s="824"/>
      <c r="W819" s="824"/>
    </row>
    <row r="820" spans="2:23" hidden="1">
      <c r="B820" s="515"/>
      <c r="C820" s="516"/>
      <c r="D820" s="515"/>
      <c r="E820" s="824"/>
      <c r="F820" s="824"/>
      <c r="G820" s="824"/>
      <c r="H820" s="824"/>
      <c r="I820" s="824"/>
      <c r="J820" s="824"/>
      <c r="K820" s="824"/>
      <c r="L820" s="824"/>
      <c r="M820" s="824"/>
      <c r="N820" s="824"/>
      <c r="O820" s="824"/>
      <c r="P820" s="824"/>
      <c r="Q820" s="824"/>
      <c r="R820" s="824"/>
      <c r="S820" s="824"/>
      <c r="T820" s="824"/>
      <c r="U820" s="824"/>
      <c r="V820" s="824"/>
      <c r="W820" s="824"/>
    </row>
    <row r="821" spans="2:23" hidden="1">
      <c r="B821" s="515"/>
      <c r="C821" s="516"/>
      <c r="D821" s="515"/>
      <c r="E821" s="824"/>
      <c r="F821" s="824"/>
      <c r="G821" s="824"/>
      <c r="H821" s="824"/>
      <c r="I821" s="824"/>
      <c r="J821" s="824"/>
      <c r="K821" s="824"/>
      <c r="L821" s="824"/>
      <c r="M821" s="824"/>
      <c r="N821" s="824"/>
      <c r="O821" s="824"/>
      <c r="P821" s="824"/>
      <c r="Q821" s="824"/>
      <c r="R821" s="824"/>
      <c r="S821" s="824"/>
      <c r="T821" s="824"/>
      <c r="U821" s="824"/>
      <c r="V821" s="824"/>
      <c r="W821" s="824"/>
    </row>
    <row r="822" spans="2:23" hidden="1">
      <c r="B822" s="515"/>
      <c r="C822" s="516"/>
      <c r="D822" s="515"/>
      <c r="E822" s="824"/>
      <c r="F822" s="824"/>
      <c r="G822" s="824"/>
      <c r="H822" s="824"/>
      <c r="I822" s="824"/>
      <c r="J822" s="824"/>
      <c r="K822" s="824"/>
      <c r="L822" s="824"/>
      <c r="M822" s="824"/>
      <c r="N822" s="824"/>
      <c r="O822" s="824"/>
      <c r="P822" s="824"/>
      <c r="Q822" s="824"/>
      <c r="R822" s="824"/>
      <c r="S822" s="824"/>
      <c r="T822" s="824"/>
      <c r="U822" s="824"/>
      <c r="V822" s="824"/>
      <c r="W822" s="824"/>
    </row>
    <row r="823" spans="2:23" hidden="1">
      <c r="B823" s="515"/>
      <c r="C823" s="516"/>
      <c r="D823" s="515"/>
      <c r="E823" s="824"/>
      <c r="F823" s="824"/>
      <c r="G823" s="824"/>
      <c r="H823" s="824"/>
      <c r="I823" s="824"/>
      <c r="J823" s="824"/>
      <c r="K823" s="824"/>
      <c r="L823" s="824"/>
      <c r="M823" s="824"/>
      <c r="N823" s="824"/>
      <c r="O823" s="824"/>
      <c r="P823" s="824"/>
      <c r="Q823" s="824"/>
      <c r="R823" s="824"/>
      <c r="S823" s="824"/>
      <c r="T823" s="824"/>
      <c r="U823" s="824"/>
      <c r="V823" s="824"/>
      <c r="W823" s="824"/>
    </row>
    <row r="824" spans="2:23" hidden="1">
      <c r="B824" s="515"/>
      <c r="C824" s="516"/>
      <c r="D824" s="515"/>
      <c r="E824" s="824"/>
      <c r="F824" s="824"/>
      <c r="G824" s="824"/>
      <c r="H824" s="824"/>
      <c r="I824" s="824"/>
      <c r="J824" s="824"/>
      <c r="K824" s="824"/>
      <c r="L824" s="824"/>
      <c r="M824" s="824"/>
      <c r="N824" s="824"/>
      <c r="O824" s="824"/>
      <c r="P824" s="824"/>
      <c r="Q824" s="824"/>
      <c r="R824" s="824"/>
      <c r="S824" s="824"/>
      <c r="T824" s="824"/>
      <c r="U824" s="824"/>
      <c r="V824" s="824"/>
      <c r="W824" s="824"/>
    </row>
    <row r="825" spans="2:23" hidden="1">
      <c r="B825" s="515"/>
      <c r="C825" s="516"/>
      <c r="D825" s="515"/>
      <c r="E825" s="824"/>
      <c r="F825" s="824"/>
      <c r="G825" s="824"/>
      <c r="H825" s="824"/>
      <c r="I825" s="824"/>
      <c r="J825" s="824"/>
      <c r="K825" s="824"/>
      <c r="L825" s="824"/>
      <c r="M825" s="824"/>
      <c r="N825" s="824"/>
      <c r="O825" s="824"/>
      <c r="P825" s="824"/>
      <c r="Q825" s="824"/>
      <c r="R825" s="824"/>
      <c r="S825" s="824"/>
      <c r="T825" s="824"/>
      <c r="U825" s="824"/>
      <c r="V825" s="824"/>
      <c r="W825" s="824"/>
    </row>
    <row r="826" spans="2:23" hidden="1">
      <c r="B826" s="515"/>
      <c r="C826" s="516"/>
      <c r="D826" s="515"/>
      <c r="E826" s="824"/>
      <c r="F826" s="824"/>
      <c r="G826" s="824"/>
      <c r="H826" s="824"/>
      <c r="I826" s="824"/>
      <c r="J826" s="824"/>
      <c r="K826" s="824"/>
      <c r="L826" s="824"/>
      <c r="M826" s="824"/>
      <c r="N826" s="824"/>
      <c r="O826" s="824"/>
      <c r="P826" s="824"/>
      <c r="Q826" s="824"/>
      <c r="R826" s="824"/>
      <c r="S826" s="824"/>
      <c r="T826" s="824"/>
      <c r="U826" s="824"/>
      <c r="V826" s="824"/>
      <c r="W826" s="824"/>
    </row>
    <row r="827" spans="2:23" hidden="1">
      <c r="B827" s="515"/>
      <c r="C827" s="516"/>
      <c r="D827" s="515"/>
      <c r="E827" s="824"/>
      <c r="F827" s="824"/>
      <c r="G827" s="824"/>
      <c r="H827" s="824"/>
      <c r="I827" s="824"/>
      <c r="J827" s="824"/>
      <c r="K827" s="824"/>
      <c r="L827" s="824"/>
      <c r="M827" s="824"/>
      <c r="N827" s="824"/>
      <c r="O827" s="824"/>
      <c r="P827" s="824"/>
      <c r="Q827" s="824"/>
      <c r="R827" s="824"/>
      <c r="S827" s="824"/>
      <c r="T827" s="824"/>
      <c r="U827" s="824"/>
      <c r="V827" s="824"/>
      <c r="W827" s="824"/>
    </row>
    <row r="828" spans="2:23" hidden="1">
      <c r="B828" s="515"/>
      <c r="C828" s="516"/>
      <c r="D828" s="515"/>
      <c r="E828" s="824"/>
      <c r="F828" s="824"/>
      <c r="G828" s="824"/>
      <c r="H828" s="824"/>
      <c r="I828" s="824"/>
      <c r="J828" s="824"/>
      <c r="K828" s="824"/>
      <c r="L828" s="824"/>
      <c r="M828" s="824"/>
      <c r="N828" s="824"/>
      <c r="O828" s="824"/>
      <c r="P828" s="824"/>
      <c r="Q828" s="824"/>
      <c r="R828" s="824"/>
      <c r="S828" s="824"/>
      <c r="T828" s="824"/>
      <c r="U828" s="824"/>
      <c r="V828" s="824"/>
      <c r="W828" s="824"/>
    </row>
    <row r="829" spans="2:23" hidden="1">
      <c r="B829" s="515"/>
      <c r="C829" s="516"/>
      <c r="D829" s="515"/>
      <c r="E829" s="824"/>
      <c r="F829" s="824"/>
      <c r="G829" s="824"/>
      <c r="H829" s="824"/>
      <c r="I829" s="824"/>
      <c r="J829" s="824"/>
      <c r="K829" s="824"/>
      <c r="L829" s="824"/>
      <c r="M829" s="824"/>
      <c r="N829" s="824"/>
      <c r="O829" s="824"/>
      <c r="P829" s="824"/>
      <c r="Q829" s="824"/>
      <c r="R829" s="824"/>
      <c r="S829" s="824"/>
      <c r="T829" s="824"/>
      <c r="U829" s="824"/>
      <c r="V829" s="824"/>
      <c r="W829" s="824"/>
    </row>
    <row r="830" spans="2:23" hidden="1">
      <c r="B830" s="515"/>
      <c r="C830" s="516"/>
      <c r="D830" s="515"/>
      <c r="E830" s="824"/>
      <c r="F830" s="824"/>
      <c r="G830" s="824"/>
      <c r="H830" s="824"/>
      <c r="I830" s="824"/>
      <c r="J830" s="824"/>
      <c r="K830" s="824"/>
      <c r="L830" s="824"/>
      <c r="M830" s="824"/>
      <c r="N830" s="824"/>
      <c r="O830" s="824"/>
      <c r="P830" s="824"/>
      <c r="Q830" s="824"/>
      <c r="R830" s="824"/>
      <c r="S830" s="824"/>
      <c r="T830" s="824"/>
      <c r="U830" s="824"/>
      <c r="V830" s="824"/>
      <c r="W830" s="824"/>
    </row>
    <row r="831" spans="2:23" hidden="1">
      <c r="B831" s="515"/>
      <c r="C831" s="516"/>
      <c r="D831" s="515"/>
      <c r="E831" s="824"/>
      <c r="F831" s="824"/>
      <c r="G831" s="824"/>
      <c r="H831" s="824"/>
      <c r="I831" s="824"/>
      <c r="J831" s="824"/>
      <c r="K831" s="824"/>
      <c r="L831" s="824"/>
      <c r="M831" s="824"/>
      <c r="N831" s="824"/>
      <c r="O831" s="824"/>
      <c r="P831" s="824"/>
      <c r="Q831" s="824"/>
      <c r="R831" s="824"/>
      <c r="S831" s="824"/>
      <c r="T831" s="824"/>
      <c r="U831" s="824"/>
      <c r="V831" s="824"/>
      <c r="W831" s="824"/>
    </row>
    <row r="832" spans="2:23" hidden="1">
      <c r="B832" s="515"/>
      <c r="C832" s="516"/>
      <c r="D832" s="515"/>
      <c r="E832" s="824"/>
      <c r="F832" s="824"/>
      <c r="G832" s="824"/>
      <c r="H832" s="824"/>
      <c r="I832" s="824"/>
      <c r="J832" s="824"/>
      <c r="K832" s="824"/>
      <c r="L832" s="824"/>
      <c r="M832" s="824"/>
      <c r="N832" s="824"/>
      <c r="O832" s="824"/>
      <c r="P832" s="824"/>
      <c r="Q832" s="824"/>
      <c r="R832" s="824"/>
      <c r="S832" s="824"/>
      <c r="T832" s="824"/>
      <c r="U832" s="824"/>
      <c r="V832" s="824"/>
      <c r="W832" s="824"/>
    </row>
    <row r="833" spans="2:23" hidden="1">
      <c r="B833" s="515"/>
      <c r="C833" s="516"/>
      <c r="D833" s="515"/>
      <c r="E833" s="824"/>
      <c r="F833" s="824"/>
      <c r="G833" s="824"/>
      <c r="H833" s="824"/>
      <c r="I833" s="824"/>
      <c r="J833" s="824"/>
      <c r="K833" s="824"/>
      <c r="L833" s="824"/>
      <c r="M833" s="824"/>
      <c r="N833" s="824"/>
      <c r="O833" s="824"/>
      <c r="P833" s="824"/>
      <c r="Q833" s="824"/>
      <c r="R833" s="824"/>
      <c r="S833" s="824"/>
      <c r="T833" s="824"/>
      <c r="U833" s="824"/>
      <c r="V833" s="824"/>
      <c r="W833" s="824"/>
    </row>
    <row r="834" spans="2:23" hidden="1">
      <c r="B834" s="515"/>
      <c r="C834" s="516"/>
      <c r="D834" s="515"/>
      <c r="E834" s="824"/>
      <c r="F834" s="824"/>
      <c r="G834" s="824"/>
      <c r="H834" s="824"/>
      <c r="I834" s="824"/>
      <c r="J834" s="824"/>
      <c r="K834" s="824"/>
      <c r="L834" s="824"/>
      <c r="M834" s="824"/>
      <c r="N834" s="824"/>
      <c r="O834" s="824"/>
      <c r="P834" s="824"/>
      <c r="Q834" s="824"/>
      <c r="R834" s="824"/>
      <c r="S834" s="824"/>
      <c r="T834" s="824"/>
      <c r="U834" s="824"/>
      <c r="V834" s="824"/>
      <c r="W834" s="824"/>
    </row>
    <row r="835" spans="2:23" hidden="1">
      <c r="B835" s="515"/>
      <c r="C835" s="516"/>
      <c r="D835" s="515"/>
      <c r="E835" s="824"/>
      <c r="F835" s="824"/>
      <c r="G835" s="824"/>
      <c r="H835" s="824"/>
      <c r="I835" s="824"/>
      <c r="J835" s="824"/>
      <c r="K835" s="824"/>
      <c r="L835" s="824"/>
      <c r="M835" s="824"/>
      <c r="N835" s="824"/>
      <c r="O835" s="824"/>
      <c r="P835" s="824"/>
      <c r="Q835" s="824"/>
      <c r="R835" s="824"/>
      <c r="S835" s="824"/>
      <c r="T835" s="824"/>
      <c r="U835" s="824"/>
      <c r="V835" s="824"/>
      <c r="W835" s="824"/>
    </row>
    <row r="836" spans="2:23" hidden="1">
      <c r="B836" s="515"/>
      <c r="C836" s="516"/>
      <c r="D836" s="515"/>
      <c r="E836" s="824"/>
      <c r="F836" s="824"/>
      <c r="G836" s="824"/>
      <c r="H836" s="824"/>
      <c r="I836" s="824"/>
      <c r="J836" s="824"/>
      <c r="K836" s="824"/>
      <c r="L836" s="824"/>
      <c r="M836" s="824"/>
      <c r="N836" s="824"/>
      <c r="O836" s="824"/>
      <c r="P836" s="824"/>
      <c r="Q836" s="824"/>
      <c r="R836" s="824"/>
      <c r="S836" s="824"/>
      <c r="T836" s="824"/>
      <c r="U836" s="824"/>
      <c r="V836" s="824"/>
      <c r="W836" s="824"/>
    </row>
    <row r="837" spans="2:23" hidden="1">
      <c r="B837" s="515"/>
      <c r="C837" s="516"/>
      <c r="D837" s="515"/>
      <c r="E837" s="824"/>
      <c r="F837" s="824"/>
      <c r="G837" s="824"/>
      <c r="H837" s="824"/>
      <c r="I837" s="824"/>
      <c r="J837" s="824"/>
      <c r="K837" s="824"/>
      <c r="L837" s="824"/>
      <c r="M837" s="824"/>
      <c r="N837" s="824"/>
      <c r="O837" s="824"/>
      <c r="P837" s="824"/>
      <c r="Q837" s="824"/>
      <c r="R837" s="824"/>
      <c r="S837" s="824"/>
      <c r="T837" s="824"/>
      <c r="U837" s="824"/>
      <c r="V837" s="824"/>
      <c r="W837" s="824"/>
    </row>
    <row r="838" spans="2:23" hidden="1">
      <c r="B838" s="515"/>
      <c r="C838" s="516"/>
      <c r="D838" s="515"/>
      <c r="E838" s="824"/>
      <c r="F838" s="824"/>
      <c r="G838" s="824"/>
      <c r="H838" s="824"/>
      <c r="I838" s="824"/>
      <c r="J838" s="824"/>
      <c r="K838" s="824"/>
      <c r="L838" s="824"/>
      <c r="M838" s="824"/>
      <c r="N838" s="824"/>
      <c r="O838" s="824"/>
      <c r="P838" s="824"/>
      <c r="Q838" s="824"/>
      <c r="R838" s="824"/>
      <c r="S838" s="824"/>
      <c r="T838" s="824"/>
      <c r="U838" s="824"/>
      <c r="V838" s="824"/>
      <c r="W838" s="824"/>
    </row>
    <row r="839" spans="2:23" hidden="1">
      <c r="B839" s="515"/>
      <c r="C839" s="516"/>
      <c r="D839" s="515"/>
      <c r="E839" s="824"/>
      <c r="F839" s="824"/>
      <c r="G839" s="824"/>
      <c r="H839" s="824"/>
      <c r="I839" s="824"/>
      <c r="J839" s="824"/>
      <c r="K839" s="824"/>
      <c r="L839" s="824"/>
      <c r="M839" s="824"/>
      <c r="N839" s="824"/>
      <c r="O839" s="824"/>
      <c r="P839" s="824"/>
      <c r="Q839" s="824"/>
      <c r="R839" s="824"/>
      <c r="S839" s="824"/>
      <c r="T839" s="824"/>
      <c r="U839" s="824"/>
      <c r="V839" s="824"/>
      <c r="W839" s="824"/>
    </row>
    <row r="840" spans="2:23" hidden="1">
      <c r="B840" s="515"/>
      <c r="C840" s="516"/>
      <c r="D840" s="515"/>
      <c r="E840" s="824"/>
      <c r="F840" s="824"/>
      <c r="G840" s="824"/>
      <c r="H840" s="824"/>
      <c r="I840" s="824"/>
      <c r="J840" s="824"/>
      <c r="K840" s="824"/>
      <c r="L840" s="824"/>
      <c r="M840" s="824"/>
      <c r="N840" s="824"/>
      <c r="O840" s="824"/>
      <c r="P840" s="824"/>
      <c r="Q840" s="824"/>
      <c r="R840" s="824"/>
      <c r="S840" s="824"/>
      <c r="T840" s="824"/>
      <c r="U840" s="824"/>
      <c r="V840" s="824"/>
      <c r="W840" s="824"/>
    </row>
    <row r="841" spans="2:23" hidden="1">
      <c r="B841" s="515"/>
      <c r="C841" s="516"/>
      <c r="D841" s="515"/>
      <c r="E841" s="824"/>
      <c r="F841" s="824"/>
      <c r="G841" s="824"/>
      <c r="H841" s="824"/>
      <c r="I841" s="824"/>
      <c r="J841" s="824"/>
      <c r="K841" s="824"/>
      <c r="L841" s="824"/>
      <c r="M841" s="824"/>
      <c r="N841" s="824"/>
      <c r="O841" s="824"/>
      <c r="P841" s="824"/>
      <c r="Q841" s="824"/>
      <c r="R841" s="824"/>
      <c r="S841" s="824"/>
      <c r="T841" s="824"/>
      <c r="U841" s="824"/>
      <c r="V841" s="824"/>
      <c r="W841" s="824"/>
    </row>
    <row r="842" spans="2:23" hidden="1">
      <c r="B842" s="515"/>
      <c r="C842" s="516"/>
      <c r="D842" s="515"/>
      <c r="E842" s="824"/>
      <c r="F842" s="824"/>
      <c r="G842" s="824"/>
      <c r="H842" s="824"/>
      <c r="I842" s="824"/>
      <c r="J842" s="824"/>
      <c r="K842" s="824"/>
      <c r="L842" s="824"/>
      <c r="M842" s="824"/>
      <c r="N842" s="824"/>
      <c r="O842" s="824"/>
      <c r="P842" s="824"/>
      <c r="Q842" s="824"/>
      <c r="R842" s="824"/>
      <c r="S842" s="824"/>
      <c r="T842" s="824"/>
      <c r="U842" s="824"/>
      <c r="V842" s="824"/>
      <c r="W842" s="824"/>
    </row>
    <row r="843" spans="2:23" hidden="1">
      <c r="B843" s="515"/>
      <c r="C843" s="516"/>
      <c r="D843" s="515"/>
      <c r="E843" s="824"/>
      <c r="F843" s="824"/>
      <c r="G843" s="824"/>
      <c r="H843" s="824"/>
      <c r="I843" s="824"/>
      <c r="J843" s="824"/>
      <c r="K843" s="824"/>
      <c r="L843" s="824"/>
      <c r="M843" s="824"/>
      <c r="N843" s="824"/>
      <c r="O843" s="824"/>
      <c r="P843" s="824"/>
      <c r="Q843" s="824"/>
      <c r="R843" s="824"/>
      <c r="S843" s="824"/>
      <c r="T843" s="824"/>
      <c r="U843" s="824"/>
      <c r="V843" s="824"/>
      <c r="W843" s="824"/>
    </row>
    <row r="844" spans="2:23" hidden="1">
      <c r="B844" s="515"/>
      <c r="C844" s="516"/>
      <c r="D844" s="515"/>
      <c r="E844" s="824"/>
      <c r="F844" s="824"/>
      <c r="G844" s="824"/>
      <c r="H844" s="824"/>
      <c r="I844" s="824"/>
      <c r="J844" s="824"/>
      <c r="K844" s="824"/>
      <c r="L844" s="824"/>
      <c r="M844" s="824"/>
      <c r="N844" s="824"/>
      <c r="O844" s="824"/>
      <c r="P844" s="824"/>
      <c r="Q844" s="824"/>
      <c r="R844" s="824"/>
      <c r="S844" s="824"/>
      <c r="T844" s="824"/>
      <c r="U844" s="824"/>
      <c r="V844" s="824"/>
      <c r="W844" s="824"/>
    </row>
    <row r="845" spans="2:23" hidden="1">
      <c r="B845" s="515"/>
      <c r="C845" s="516"/>
      <c r="D845" s="515"/>
      <c r="E845" s="824"/>
      <c r="F845" s="824"/>
      <c r="G845" s="824"/>
      <c r="H845" s="824"/>
      <c r="I845" s="824"/>
      <c r="J845" s="824"/>
      <c r="K845" s="824"/>
      <c r="L845" s="824"/>
      <c r="M845" s="824"/>
      <c r="N845" s="824"/>
      <c r="O845" s="824"/>
      <c r="P845" s="824"/>
      <c r="Q845" s="824"/>
      <c r="R845" s="824"/>
      <c r="S845" s="824"/>
      <c r="T845" s="824"/>
      <c r="U845" s="824"/>
      <c r="V845" s="824"/>
      <c r="W845" s="824"/>
    </row>
    <row r="846" spans="2:23" hidden="1">
      <c r="B846" s="515"/>
      <c r="C846" s="516"/>
      <c r="D846" s="515"/>
      <c r="E846" s="824"/>
      <c r="F846" s="824"/>
      <c r="G846" s="824"/>
      <c r="H846" s="824"/>
      <c r="I846" s="824"/>
      <c r="J846" s="824"/>
      <c r="K846" s="824"/>
      <c r="L846" s="824"/>
      <c r="M846" s="824"/>
      <c r="N846" s="824"/>
      <c r="O846" s="824"/>
      <c r="P846" s="824"/>
      <c r="Q846" s="824"/>
      <c r="R846" s="824"/>
      <c r="S846" s="824"/>
      <c r="T846" s="824"/>
      <c r="U846" s="824"/>
      <c r="V846" s="824"/>
      <c r="W846" s="824"/>
    </row>
    <row r="847" spans="2:23" hidden="1">
      <c r="B847" s="515"/>
      <c r="C847" s="516"/>
      <c r="D847" s="515"/>
      <c r="E847" s="824"/>
      <c r="F847" s="824"/>
      <c r="G847" s="824"/>
      <c r="H847" s="824"/>
      <c r="I847" s="824"/>
      <c r="J847" s="824"/>
      <c r="K847" s="824"/>
      <c r="L847" s="824"/>
      <c r="M847" s="824"/>
      <c r="N847" s="824"/>
      <c r="O847" s="824"/>
      <c r="P847" s="824"/>
      <c r="Q847" s="824"/>
      <c r="R847" s="824"/>
      <c r="S847" s="824"/>
      <c r="T847" s="824"/>
      <c r="U847" s="824"/>
      <c r="V847" s="824"/>
      <c r="W847" s="824"/>
    </row>
    <row r="848" spans="2:23" hidden="1">
      <c r="B848" s="515"/>
      <c r="C848" s="516"/>
      <c r="D848" s="515"/>
      <c r="E848" s="824"/>
      <c r="F848" s="824"/>
      <c r="G848" s="824"/>
      <c r="H848" s="824"/>
      <c r="I848" s="824"/>
      <c r="J848" s="824"/>
      <c r="K848" s="824"/>
      <c r="L848" s="824"/>
      <c r="M848" s="824"/>
      <c r="N848" s="824"/>
      <c r="O848" s="824"/>
      <c r="P848" s="824"/>
      <c r="Q848" s="824"/>
      <c r="R848" s="824"/>
      <c r="S848" s="824"/>
      <c r="T848" s="824"/>
      <c r="U848" s="824"/>
      <c r="V848" s="824"/>
      <c r="W848" s="824"/>
    </row>
    <row r="849" spans="2:23" hidden="1">
      <c r="B849" s="515"/>
      <c r="C849" s="516"/>
      <c r="D849" s="515"/>
      <c r="E849" s="824"/>
      <c r="F849" s="824"/>
      <c r="G849" s="824"/>
      <c r="H849" s="824"/>
      <c r="I849" s="824"/>
      <c r="J849" s="824"/>
      <c r="K849" s="824"/>
      <c r="L849" s="824"/>
      <c r="M849" s="824"/>
      <c r="N849" s="824"/>
      <c r="O849" s="824"/>
      <c r="P849" s="824"/>
      <c r="Q849" s="824"/>
      <c r="R849" s="824"/>
      <c r="S849" s="824"/>
      <c r="T849" s="824"/>
      <c r="U849" s="824"/>
      <c r="V849" s="824"/>
      <c r="W849" s="824"/>
    </row>
    <row r="850" spans="2:23" hidden="1">
      <c r="B850" s="515"/>
      <c r="C850" s="516"/>
      <c r="D850" s="515"/>
      <c r="E850" s="824"/>
      <c r="F850" s="824"/>
      <c r="G850" s="824"/>
      <c r="H850" s="824"/>
      <c r="I850" s="824"/>
      <c r="J850" s="824"/>
      <c r="K850" s="824"/>
      <c r="L850" s="824"/>
      <c r="M850" s="824"/>
      <c r="N850" s="824"/>
      <c r="O850" s="824"/>
      <c r="P850" s="824"/>
      <c r="Q850" s="824"/>
      <c r="R850" s="824"/>
      <c r="S850" s="824"/>
      <c r="T850" s="824"/>
      <c r="U850" s="824"/>
      <c r="V850" s="824"/>
      <c r="W850" s="824"/>
    </row>
    <row r="851" spans="2:23" hidden="1">
      <c r="B851" s="515"/>
      <c r="C851" s="516"/>
      <c r="D851" s="515"/>
      <c r="E851" s="824"/>
      <c r="F851" s="824"/>
      <c r="G851" s="824"/>
      <c r="H851" s="824"/>
      <c r="I851" s="824"/>
      <c r="J851" s="824"/>
      <c r="K851" s="824"/>
      <c r="L851" s="824"/>
      <c r="M851" s="824"/>
      <c r="N851" s="824"/>
      <c r="O851" s="824"/>
      <c r="P851" s="824"/>
      <c r="Q851" s="824"/>
      <c r="R851" s="824"/>
      <c r="S851" s="824"/>
      <c r="T851" s="824"/>
      <c r="U851" s="824"/>
      <c r="V851" s="824"/>
      <c r="W851" s="824"/>
    </row>
    <row r="852" spans="2:23" hidden="1">
      <c r="B852" s="515"/>
      <c r="C852" s="516"/>
      <c r="D852" s="515"/>
      <c r="E852" s="824"/>
      <c r="F852" s="824"/>
      <c r="G852" s="824"/>
      <c r="H852" s="824"/>
      <c r="I852" s="824"/>
      <c r="J852" s="824"/>
      <c r="K852" s="824"/>
      <c r="L852" s="824"/>
      <c r="M852" s="824"/>
      <c r="N852" s="824"/>
      <c r="O852" s="824"/>
      <c r="P852" s="824"/>
      <c r="Q852" s="824"/>
      <c r="R852" s="824"/>
      <c r="S852" s="824"/>
      <c r="T852" s="824"/>
      <c r="U852" s="824"/>
      <c r="V852" s="824"/>
      <c r="W852" s="824"/>
    </row>
    <row r="853" spans="2:23" hidden="1">
      <c r="B853" s="515"/>
      <c r="C853" s="516"/>
      <c r="D853" s="515"/>
      <c r="E853" s="824"/>
      <c r="F853" s="824"/>
      <c r="G853" s="824"/>
      <c r="H853" s="824"/>
      <c r="I853" s="824"/>
      <c r="J853" s="824"/>
      <c r="K853" s="824"/>
      <c r="L853" s="824"/>
      <c r="M853" s="824"/>
      <c r="N853" s="824"/>
      <c r="O853" s="824"/>
      <c r="P853" s="824"/>
      <c r="Q853" s="824"/>
      <c r="R853" s="824"/>
      <c r="S853" s="824"/>
      <c r="T853" s="824"/>
      <c r="U853" s="824"/>
      <c r="V853" s="824"/>
      <c r="W853" s="824"/>
    </row>
    <row r="854" spans="2:23" hidden="1">
      <c r="B854" s="515"/>
      <c r="C854" s="516"/>
      <c r="D854" s="515"/>
      <c r="E854" s="824"/>
      <c r="F854" s="824"/>
      <c r="G854" s="824"/>
      <c r="H854" s="824"/>
      <c r="I854" s="824"/>
      <c r="J854" s="824"/>
      <c r="K854" s="824"/>
      <c r="L854" s="824"/>
      <c r="M854" s="824"/>
      <c r="N854" s="824"/>
      <c r="O854" s="824"/>
      <c r="P854" s="824"/>
      <c r="Q854" s="824"/>
      <c r="R854" s="824"/>
      <c r="S854" s="824"/>
      <c r="T854" s="824"/>
      <c r="U854" s="824"/>
      <c r="V854" s="824"/>
      <c r="W854" s="824"/>
    </row>
    <row r="855" spans="2:23" hidden="1">
      <c r="B855" s="515"/>
      <c r="C855" s="516"/>
      <c r="D855" s="515"/>
      <c r="E855" s="824"/>
      <c r="F855" s="824"/>
      <c r="G855" s="824"/>
      <c r="H855" s="824"/>
      <c r="I855" s="824"/>
      <c r="J855" s="824"/>
      <c r="K855" s="824"/>
      <c r="L855" s="824"/>
      <c r="M855" s="824"/>
      <c r="N855" s="824"/>
      <c r="O855" s="824"/>
      <c r="P855" s="824"/>
      <c r="Q855" s="824"/>
      <c r="R855" s="824"/>
      <c r="S855" s="824"/>
      <c r="T855" s="824"/>
      <c r="U855" s="824"/>
      <c r="V855" s="824"/>
      <c r="W855" s="824"/>
    </row>
    <row r="856" spans="2:23" hidden="1">
      <c r="B856" s="515"/>
      <c r="C856" s="516"/>
      <c r="D856" s="515"/>
      <c r="E856" s="824"/>
      <c r="F856" s="824"/>
      <c r="G856" s="824"/>
      <c r="H856" s="824"/>
      <c r="I856" s="824"/>
      <c r="J856" s="824"/>
      <c r="K856" s="824"/>
      <c r="L856" s="824"/>
      <c r="M856" s="824"/>
      <c r="N856" s="824"/>
      <c r="O856" s="824"/>
      <c r="P856" s="824"/>
      <c r="Q856" s="824"/>
      <c r="R856" s="824"/>
      <c r="S856" s="824"/>
      <c r="T856" s="824"/>
      <c r="U856" s="824"/>
      <c r="V856" s="824"/>
      <c r="W856" s="824"/>
    </row>
    <row r="857" spans="2:23" hidden="1">
      <c r="B857" s="515"/>
      <c r="C857" s="516"/>
      <c r="D857" s="515"/>
      <c r="E857" s="824"/>
      <c r="F857" s="824"/>
      <c r="G857" s="824"/>
      <c r="H857" s="824"/>
      <c r="I857" s="824"/>
      <c r="J857" s="824"/>
      <c r="K857" s="824"/>
      <c r="L857" s="824"/>
      <c r="M857" s="824"/>
      <c r="N857" s="824"/>
      <c r="O857" s="824"/>
      <c r="P857" s="824"/>
      <c r="Q857" s="824"/>
      <c r="R857" s="824"/>
      <c r="S857" s="824"/>
      <c r="T857" s="824"/>
      <c r="U857" s="824"/>
      <c r="V857" s="824"/>
      <c r="W857" s="824"/>
    </row>
    <row r="858" spans="2:23" hidden="1">
      <c r="B858" s="515"/>
      <c r="C858" s="516"/>
      <c r="D858" s="515"/>
      <c r="E858" s="824"/>
      <c r="F858" s="824"/>
      <c r="G858" s="824"/>
      <c r="H858" s="824"/>
      <c r="I858" s="824"/>
      <c r="J858" s="824"/>
      <c r="K858" s="824"/>
      <c r="L858" s="824"/>
      <c r="M858" s="824"/>
      <c r="N858" s="824"/>
      <c r="O858" s="824"/>
      <c r="P858" s="824"/>
      <c r="Q858" s="824"/>
      <c r="R858" s="824"/>
      <c r="S858" s="824"/>
      <c r="T858" s="824"/>
      <c r="U858" s="824"/>
      <c r="V858" s="824"/>
      <c r="W858" s="824"/>
    </row>
    <row r="859" spans="2:23" hidden="1">
      <c r="B859" s="515"/>
      <c r="C859" s="516"/>
      <c r="D859" s="515"/>
      <c r="E859" s="824"/>
      <c r="F859" s="824"/>
      <c r="G859" s="824"/>
      <c r="H859" s="824"/>
      <c r="I859" s="824"/>
      <c r="J859" s="824"/>
      <c r="K859" s="824"/>
      <c r="L859" s="824"/>
      <c r="M859" s="824"/>
      <c r="N859" s="824"/>
      <c r="O859" s="824"/>
      <c r="P859" s="824"/>
      <c r="Q859" s="824"/>
      <c r="R859" s="824"/>
      <c r="S859" s="824"/>
      <c r="T859" s="824"/>
      <c r="U859" s="824"/>
      <c r="V859" s="824"/>
      <c r="W859" s="824"/>
    </row>
    <row r="860" spans="2:23" hidden="1">
      <c r="B860" s="515"/>
      <c r="C860" s="516"/>
      <c r="D860" s="515"/>
      <c r="E860" s="824"/>
      <c r="F860" s="824"/>
      <c r="G860" s="824"/>
      <c r="H860" s="824"/>
      <c r="I860" s="824"/>
      <c r="J860" s="824"/>
      <c r="K860" s="824"/>
      <c r="L860" s="824"/>
      <c r="M860" s="824"/>
      <c r="N860" s="824"/>
      <c r="O860" s="824"/>
      <c r="P860" s="824"/>
      <c r="Q860" s="824"/>
      <c r="R860" s="824"/>
      <c r="S860" s="824"/>
      <c r="T860" s="824"/>
      <c r="U860" s="824"/>
      <c r="V860" s="824"/>
      <c r="W860" s="824"/>
    </row>
    <row r="861" spans="2:23" hidden="1">
      <c r="B861" s="515"/>
      <c r="C861" s="516"/>
      <c r="D861" s="515"/>
      <c r="E861" s="824"/>
      <c r="F861" s="824"/>
      <c r="G861" s="824"/>
      <c r="H861" s="824"/>
      <c r="I861" s="824"/>
      <c r="J861" s="824"/>
      <c r="K861" s="824"/>
      <c r="L861" s="824"/>
      <c r="M861" s="824"/>
      <c r="N861" s="824"/>
      <c r="O861" s="824"/>
      <c r="P861" s="824"/>
      <c r="Q861" s="824"/>
      <c r="R861" s="824"/>
      <c r="S861" s="824"/>
      <c r="T861" s="824"/>
      <c r="U861" s="824"/>
      <c r="V861" s="824"/>
      <c r="W861" s="824"/>
    </row>
    <row r="862" spans="2:23" hidden="1">
      <c r="B862" s="515"/>
      <c r="C862" s="516"/>
      <c r="D862" s="515"/>
      <c r="E862" s="824"/>
      <c r="F862" s="824"/>
      <c r="G862" s="824"/>
      <c r="H862" s="824"/>
      <c r="I862" s="824"/>
      <c r="J862" s="824"/>
      <c r="K862" s="824"/>
      <c r="L862" s="824"/>
      <c r="M862" s="824"/>
      <c r="N862" s="824"/>
      <c r="O862" s="824"/>
      <c r="P862" s="824"/>
      <c r="Q862" s="824"/>
      <c r="R862" s="824"/>
      <c r="S862" s="824"/>
      <c r="T862" s="824"/>
      <c r="U862" s="824"/>
      <c r="V862" s="824"/>
      <c r="W862" s="824"/>
    </row>
    <row r="863" spans="2:23" hidden="1">
      <c r="B863" s="515"/>
      <c r="C863" s="516"/>
      <c r="D863" s="515"/>
      <c r="E863" s="824"/>
      <c r="F863" s="824"/>
      <c r="G863" s="824"/>
      <c r="H863" s="824"/>
      <c r="I863" s="824"/>
      <c r="J863" s="824"/>
      <c r="K863" s="824"/>
      <c r="L863" s="824"/>
      <c r="M863" s="824"/>
      <c r="N863" s="824"/>
      <c r="O863" s="824"/>
      <c r="P863" s="824"/>
      <c r="Q863" s="824"/>
      <c r="R863" s="824"/>
      <c r="S863" s="824"/>
      <c r="T863" s="824"/>
      <c r="U863" s="824"/>
      <c r="V863" s="824"/>
      <c r="W863" s="824"/>
    </row>
    <row r="864" spans="2:23" hidden="1">
      <c r="B864" s="515"/>
      <c r="C864" s="516"/>
      <c r="D864" s="515"/>
      <c r="E864" s="824"/>
      <c r="F864" s="824"/>
      <c r="G864" s="824"/>
      <c r="H864" s="824"/>
      <c r="I864" s="824"/>
      <c r="J864" s="824"/>
      <c r="K864" s="824"/>
      <c r="L864" s="824"/>
      <c r="M864" s="824"/>
      <c r="N864" s="824"/>
      <c r="O864" s="824"/>
      <c r="P864" s="824"/>
      <c r="Q864" s="824"/>
      <c r="R864" s="824"/>
      <c r="S864" s="824"/>
      <c r="T864" s="824"/>
      <c r="U864" s="824"/>
      <c r="V864" s="824"/>
      <c r="W864" s="824"/>
    </row>
    <row r="865" spans="2:23" hidden="1">
      <c r="B865" s="515"/>
      <c r="C865" s="516"/>
      <c r="D865" s="515"/>
      <c r="E865" s="824"/>
      <c r="F865" s="824"/>
      <c r="G865" s="824"/>
      <c r="H865" s="824"/>
      <c r="I865" s="824"/>
      <c r="J865" s="824"/>
      <c r="K865" s="824"/>
      <c r="L865" s="824"/>
      <c r="M865" s="824"/>
      <c r="N865" s="824"/>
      <c r="O865" s="824"/>
      <c r="P865" s="824"/>
      <c r="Q865" s="824"/>
      <c r="R865" s="824"/>
      <c r="S865" s="824"/>
      <c r="T865" s="824"/>
      <c r="U865" s="824"/>
      <c r="V865" s="824"/>
      <c r="W865" s="824"/>
    </row>
    <row r="866" spans="2:23" hidden="1">
      <c r="B866" s="515"/>
      <c r="C866" s="516"/>
      <c r="D866" s="515"/>
      <c r="E866" s="824"/>
      <c r="F866" s="824"/>
      <c r="G866" s="824"/>
      <c r="H866" s="824"/>
      <c r="I866" s="824"/>
      <c r="J866" s="824"/>
      <c r="K866" s="824"/>
      <c r="L866" s="824"/>
      <c r="M866" s="824"/>
      <c r="N866" s="824"/>
      <c r="O866" s="824"/>
      <c r="P866" s="824"/>
      <c r="Q866" s="824"/>
      <c r="R866" s="824"/>
      <c r="S866" s="824"/>
      <c r="T866" s="824"/>
      <c r="U866" s="824"/>
      <c r="V866" s="824"/>
      <c r="W866" s="824"/>
    </row>
    <row r="867" spans="2:23" hidden="1">
      <c r="B867" s="515"/>
      <c r="C867" s="516"/>
      <c r="D867" s="515"/>
      <c r="E867" s="824"/>
      <c r="F867" s="824"/>
      <c r="G867" s="824"/>
      <c r="H867" s="824"/>
      <c r="I867" s="824"/>
      <c r="J867" s="824"/>
      <c r="K867" s="824"/>
      <c r="L867" s="824"/>
      <c r="M867" s="824"/>
      <c r="N867" s="824"/>
      <c r="O867" s="824"/>
      <c r="P867" s="824"/>
      <c r="Q867" s="824"/>
      <c r="R867" s="824"/>
      <c r="S867" s="824"/>
      <c r="T867" s="824"/>
      <c r="U867" s="824"/>
      <c r="V867" s="824"/>
      <c r="W867" s="824"/>
    </row>
    <row r="868" spans="2:23" hidden="1">
      <c r="B868" s="515"/>
      <c r="C868" s="516"/>
      <c r="D868" s="515"/>
      <c r="E868" s="824"/>
      <c r="F868" s="824"/>
      <c r="G868" s="824"/>
      <c r="H868" s="824"/>
      <c r="I868" s="824"/>
      <c r="J868" s="824"/>
      <c r="K868" s="824"/>
      <c r="L868" s="824"/>
      <c r="M868" s="824"/>
      <c r="N868" s="824"/>
      <c r="O868" s="824"/>
      <c r="P868" s="824"/>
      <c r="Q868" s="824"/>
      <c r="R868" s="824"/>
      <c r="S868" s="824"/>
      <c r="T868" s="824"/>
      <c r="U868" s="824"/>
      <c r="V868" s="824"/>
      <c r="W868" s="824"/>
    </row>
    <row r="869" spans="2:23" hidden="1">
      <c r="B869" s="515"/>
      <c r="C869" s="516"/>
      <c r="D869" s="515"/>
      <c r="E869" s="824"/>
      <c r="F869" s="824"/>
      <c r="G869" s="824"/>
      <c r="H869" s="824"/>
      <c r="I869" s="824"/>
      <c r="J869" s="824"/>
      <c r="K869" s="824"/>
      <c r="L869" s="824"/>
      <c r="M869" s="824"/>
      <c r="N869" s="824"/>
      <c r="O869" s="824"/>
      <c r="P869" s="824"/>
      <c r="Q869" s="824"/>
      <c r="R869" s="824"/>
      <c r="S869" s="824"/>
      <c r="T869" s="824"/>
      <c r="U869" s="824"/>
      <c r="V869" s="824"/>
      <c r="W869" s="824"/>
    </row>
    <row r="870" spans="2:23" hidden="1">
      <c r="B870" s="515"/>
      <c r="C870" s="516"/>
      <c r="D870" s="515"/>
      <c r="E870" s="824"/>
      <c r="F870" s="824"/>
      <c r="G870" s="824"/>
      <c r="H870" s="824"/>
      <c r="I870" s="824"/>
      <c r="J870" s="824"/>
      <c r="K870" s="824"/>
      <c r="L870" s="824"/>
      <c r="M870" s="824"/>
      <c r="N870" s="824"/>
      <c r="O870" s="824"/>
      <c r="P870" s="824"/>
      <c r="Q870" s="824"/>
      <c r="R870" s="824"/>
      <c r="S870" s="824"/>
      <c r="T870" s="824"/>
      <c r="U870" s="824"/>
      <c r="V870" s="824"/>
      <c r="W870" s="824"/>
    </row>
    <row r="871" spans="2:23" hidden="1">
      <c r="B871" s="515"/>
      <c r="C871" s="516"/>
      <c r="D871" s="515"/>
      <c r="E871" s="824"/>
      <c r="F871" s="824"/>
      <c r="G871" s="824"/>
      <c r="H871" s="824"/>
      <c r="I871" s="824"/>
      <c r="J871" s="824"/>
      <c r="K871" s="824"/>
      <c r="L871" s="824"/>
      <c r="M871" s="824"/>
      <c r="N871" s="824"/>
      <c r="O871" s="824"/>
      <c r="P871" s="824"/>
      <c r="Q871" s="824"/>
      <c r="R871" s="824"/>
      <c r="S871" s="824"/>
      <c r="T871" s="824"/>
      <c r="U871" s="824"/>
      <c r="V871" s="824"/>
      <c r="W871" s="824"/>
    </row>
    <row r="872" spans="2:23" hidden="1">
      <c r="B872" s="515"/>
      <c r="C872" s="516"/>
      <c r="D872" s="515"/>
      <c r="E872" s="824"/>
      <c r="F872" s="824"/>
      <c r="G872" s="824"/>
      <c r="H872" s="824"/>
      <c r="I872" s="824"/>
      <c r="J872" s="824"/>
      <c r="K872" s="824"/>
      <c r="L872" s="824"/>
      <c r="M872" s="824"/>
      <c r="N872" s="824"/>
      <c r="O872" s="824"/>
      <c r="P872" s="824"/>
      <c r="Q872" s="824"/>
      <c r="R872" s="824"/>
      <c r="S872" s="824"/>
      <c r="T872" s="824"/>
      <c r="U872" s="824"/>
      <c r="V872" s="824"/>
      <c r="W872" s="824"/>
    </row>
    <row r="873" spans="2:23" hidden="1">
      <c r="B873" s="515"/>
      <c r="C873" s="516"/>
      <c r="D873" s="515"/>
      <c r="E873" s="824"/>
      <c r="F873" s="824"/>
      <c r="G873" s="824"/>
      <c r="H873" s="824"/>
      <c r="I873" s="824"/>
      <c r="J873" s="824"/>
      <c r="K873" s="824"/>
      <c r="L873" s="824"/>
      <c r="M873" s="824"/>
      <c r="N873" s="824"/>
      <c r="O873" s="824"/>
      <c r="P873" s="824"/>
      <c r="Q873" s="824"/>
      <c r="R873" s="824"/>
      <c r="S873" s="824"/>
      <c r="T873" s="824"/>
      <c r="U873" s="824"/>
      <c r="V873" s="824"/>
      <c r="W873" s="824"/>
    </row>
    <row r="874" spans="2:23" hidden="1">
      <c r="B874" s="515"/>
      <c r="C874" s="516"/>
      <c r="D874" s="515"/>
      <c r="E874" s="824"/>
      <c r="F874" s="824"/>
      <c r="G874" s="824"/>
      <c r="H874" s="824"/>
      <c r="I874" s="824"/>
      <c r="J874" s="824"/>
      <c r="K874" s="824"/>
      <c r="L874" s="824"/>
      <c r="M874" s="824"/>
      <c r="N874" s="824"/>
      <c r="O874" s="824"/>
      <c r="P874" s="824"/>
      <c r="Q874" s="824"/>
      <c r="R874" s="824"/>
      <c r="S874" s="824"/>
      <c r="T874" s="824"/>
      <c r="U874" s="824"/>
      <c r="V874" s="824"/>
      <c r="W874" s="824"/>
    </row>
    <row r="875" spans="2:23" hidden="1">
      <c r="B875" s="515"/>
      <c r="C875" s="516"/>
      <c r="D875" s="515"/>
      <c r="E875" s="824"/>
      <c r="F875" s="824"/>
      <c r="G875" s="824"/>
      <c r="H875" s="824"/>
      <c r="I875" s="824"/>
      <c r="J875" s="824"/>
      <c r="K875" s="824"/>
      <c r="L875" s="824"/>
      <c r="M875" s="824"/>
      <c r="N875" s="824"/>
      <c r="O875" s="824"/>
      <c r="P875" s="824"/>
      <c r="Q875" s="824"/>
      <c r="R875" s="824"/>
      <c r="S875" s="824"/>
      <c r="T875" s="824"/>
      <c r="U875" s="824"/>
      <c r="V875" s="824"/>
      <c r="W875" s="824"/>
    </row>
    <row r="876" spans="2:23" hidden="1">
      <c r="B876" s="515"/>
      <c r="C876" s="516"/>
      <c r="D876" s="515"/>
      <c r="E876" s="824"/>
      <c r="F876" s="824"/>
      <c r="G876" s="824"/>
      <c r="H876" s="824"/>
      <c r="I876" s="824"/>
      <c r="J876" s="824"/>
      <c r="K876" s="824"/>
      <c r="L876" s="824"/>
      <c r="M876" s="824"/>
      <c r="N876" s="824"/>
      <c r="O876" s="824"/>
      <c r="P876" s="824"/>
      <c r="Q876" s="824"/>
      <c r="R876" s="824"/>
      <c r="S876" s="824"/>
      <c r="T876" s="824"/>
      <c r="U876" s="824"/>
      <c r="V876" s="824"/>
      <c r="W876" s="824"/>
    </row>
    <row r="877" spans="2:23" hidden="1">
      <c r="B877" s="515"/>
      <c r="C877" s="516"/>
      <c r="D877" s="515"/>
      <c r="E877" s="824"/>
      <c r="F877" s="824"/>
      <c r="G877" s="824"/>
      <c r="H877" s="824"/>
      <c r="I877" s="824"/>
      <c r="J877" s="824"/>
      <c r="K877" s="824"/>
      <c r="L877" s="824"/>
      <c r="M877" s="824"/>
      <c r="N877" s="824"/>
      <c r="O877" s="824"/>
      <c r="P877" s="824"/>
      <c r="Q877" s="824"/>
      <c r="R877" s="824"/>
      <c r="S877" s="824"/>
      <c r="T877" s="824"/>
      <c r="U877" s="824"/>
      <c r="V877" s="824"/>
      <c r="W877" s="824"/>
    </row>
    <row r="878" spans="2:23" hidden="1">
      <c r="B878" s="515"/>
      <c r="C878" s="516"/>
      <c r="D878" s="515"/>
      <c r="E878" s="824"/>
      <c r="F878" s="824"/>
      <c r="G878" s="824"/>
      <c r="H878" s="824"/>
      <c r="I878" s="824"/>
      <c r="J878" s="824"/>
      <c r="K878" s="824"/>
      <c r="L878" s="824"/>
      <c r="M878" s="824"/>
      <c r="N878" s="824"/>
      <c r="O878" s="824"/>
      <c r="P878" s="824"/>
      <c r="Q878" s="824"/>
      <c r="R878" s="824"/>
      <c r="S878" s="824"/>
      <c r="T878" s="824"/>
      <c r="U878" s="824"/>
      <c r="V878" s="824"/>
      <c r="W878" s="824"/>
    </row>
    <row r="879" spans="2:23" hidden="1">
      <c r="B879" s="515"/>
      <c r="C879" s="516"/>
      <c r="D879" s="515"/>
      <c r="E879" s="824"/>
      <c r="F879" s="824"/>
      <c r="G879" s="824"/>
      <c r="H879" s="824"/>
      <c r="I879" s="824"/>
      <c r="J879" s="824"/>
      <c r="K879" s="824"/>
      <c r="L879" s="824"/>
      <c r="M879" s="824"/>
      <c r="N879" s="824"/>
      <c r="O879" s="824"/>
      <c r="P879" s="824"/>
      <c r="Q879" s="824"/>
      <c r="R879" s="824"/>
      <c r="S879" s="824"/>
      <c r="T879" s="824"/>
      <c r="U879" s="824"/>
      <c r="V879" s="824"/>
      <c r="W879" s="824"/>
    </row>
    <row r="880" spans="2:23" hidden="1">
      <c r="B880" s="515"/>
      <c r="C880" s="516"/>
      <c r="D880" s="515"/>
      <c r="E880" s="824"/>
      <c r="F880" s="824"/>
      <c r="G880" s="824"/>
      <c r="H880" s="824"/>
      <c r="I880" s="824"/>
      <c r="J880" s="824"/>
      <c r="K880" s="824"/>
      <c r="L880" s="824"/>
      <c r="M880" s="824"/>
      <c r="N880" s="824"/>
      <c r="O880" s="824"/>
      <c r="P880" s="824"/>
      <c r="Q880" s="824"/>
      <c r="R880" s="824"/>
      <c r="S880" s="824"/>
      <c r="T880" s="824"/>
      <c r="U880" s="824"/>
      <c r="V880" s="824"/>
      <c r="W880" s="824"/>
    </row>
    <row r="881" spans="2:23" hidden="1">
      <c r="B881" s="515"/>
      <c r="C881" s="516"/>
      <c r="D881" s="515"/>
      <c r="E881" s="824"/>
      <c r="F881" s="824"/>
      <c r="G881" s="824"/>
      <c r="H881" s="824"/>
      <c r="I881" s="824"/>
      <c r="J881" s="824"/>
      <c r="K881" s="824"/>
      <c r="L881" s="824"/>
      <c r="M881" s="824"/>
      <c r="N881" s="824"/>
      <c r="O881" s="824"/>
      <c r="P881" s="824"/>
      <c r="Q881" s="824"/>
      <c r="R881" s="824"/>
      <c r="S881" s="824"/>
      <c r="T881" s="824"/>
      <c r="U881" s="824"/>
      <c r="V881" s="824"/>
      <c r="W881" s="824"/>
    </row>
    <row r="882" spans="2:23" hidden="1">
      <c r="B882" s="515"/>
      <c r="C882" s="516"/>
      <c r="D882" s="515"/>
      <c r="E882" s="824"/>
      <c r="F882" s="824"/>
      <c r="G882" s="824"/>
      <c r="H882" s="824"/>
      <c r="I882" s="824"/>
      <c r="J882" s="824"/>
      <c r="K882" s="824"/>
      <c r="L882" s="824"/>
      <c r="M882" s="824"/>
      <c r="N882" s="824"/>
      <c r="O882" s="824"/>
      <c r="P882" s="824"/>
      <c r="Q882" s="824"/>
      <c r="R882" s="824"/>
      <c r="S882" s="824"/>
      <c r="T882" s="824"/>
      <c r="U882" s="824"/>
      <c r="V882" s="824"/>
      <c r="W882" s="824"/>
    </row>
    <row r="883" spans="2:23" hidden="1">
      <c r="B883" s="515"/>
      <c r="C883" s="516"/>
      <c r="D883" s="515"/>
      <c r="E883" s="824"/>
      <c r="F883" s="824"/>
      <c r="G883" s="824"/>
      <c r="H883" s="824"/>
      <c r="I883" s="824"/>
      <c r="J883" s="824"/>
      <c r="K883" s="824"/>
      <c r="L883" s="824"/>
      <c r="M883" s="824"/>
      <c r="N883" s="824"/>
      <c r="O883" s="824"/>
      <c r="P883" s="824"/>
      <c r="Q883" s="824"/>
      <c r="R883" s="824"/>
      <c r="S883" s="824"/>
      <c r="T883" s="824"/>
      <c r="U883" s="824"/>
      <c r="V883" s="824"/>
      <c r="W883" s="824"/>
    </row>
    <row r="884" spans="2:23" hidden="1">
      <c r="B884" s="515"/>
      <c r="C884" s="516"/>
      <c r="D884" s="515"/>
      <c r="E884" s="824"/>
      <c r="F884" s="824"/>
      <c r="G884" s="824"/>
      <c r="H884" s="824"/>
      <c r="I884" s="824"/>
      <c r="J884" s="824"/>
      <c r="K884" s="824"/>
      <c r="L884" s="824"/>
      <c r="M884" s="824"/>
      <c r="N884" s="824"/>
      <c r="O884" s="824"/>
      <c r="P884" s="824"/>
      <c r="Q884" s="824"/>
      <c r="R884" s="824"/>
      <c r="S884" s="824"/>
      <c r="T884" s="824"/>
      <c r="U884" s="824"/>
      <c r="V884" s="824"/>
      <c r="W884" s="824"/>
    </row>
    <row r="885" spans="2:23" hidden="1">
      <c r="B885" s="515"/>
      <c r="C885" s="516"/>
      <c r="D885" s="515"/>
      <c r="E885" s="824"/>
      <c r="F885" s="824"/>
      <c r="G885" s="824"/>
      <c r="H885" s="824"/>
      <c r="I885" s="824"/>
      <c r="J885" s="824"/>
      <c r="K885" s="824"/>
      <c r="L885" s="824"/>
      <c r="M885" s="824"/>
      <c r="N885" s="824"/>
      <c r="O885" s="824"/>
      <c r="P885" s="824"/>
      <c r="Q885" s="824"/>
      <c r="R885" s="824"/>
      <c r="S885" s="824"/>
      <c r="T885" s="824"/>
      <c r="U885" s="824"/>
      <c r="V885" s="824"/>
      <c r="W885" s="824"/>
    </row>
    <row r="886" spans="2:23" hidden="1">
      <c r="B886" s="515"/>
      <c r="C886" s="516"/>
      <c r="D886" s="515"/>
      <c r="E886" s="824"/>
      <c r="F886" s="824"/>
      <c r="G886" s="824"/>
      <c r="H886" s="824"/>
      <c r="I886" s="824"/>
      <c r="J886" s="824"/>
      <c r="K886" s="824"/>
      <c r="L886" s="824"/>
      <c r="M886" s="824"/>
      <c r="N886" s="824"/>
      <c r="O886" s="824"/>
      <c r="P886" s="824"/>
      <c r="Q886" s="824"/>
      <c r="R886" s="824"/>
      <c r="S886" s="824"/>
      <c r="T886" s="824"/>
      <c r="U886" s="824"/>
      <c r="V886" s="824"/>
      <c r="W886" s="824"/>
    </row>
    <row r="887" spans="2:23" hidden="1">
      <c r="B887" s="515"/>
      <c r="C887" s="516"/>
      <c r="D887" s="515"/>
      <c r="E887" s="824"/>
      <c r="F887" s="824"/>
      <c r="G887" s="824"/>
      <c r="H887" s="824"/>
      <c r="I887" s="824"/>
      <c r="J887" s="824"/>
      <c r="K887" s="824"/>
      <c r="L887" s="824"/>
      <c r="M887" s="824"/>
      <c r="N887" s="824"/>
      <c r="O887" s="824"/>
      <c r="P887" s="824"/>
      <c r="Q887" s="824"/>
      <c r="R887" s="824"/>
      <c r="S887" s="824"/>
      <c r="T887" s="824"/>
      <c r="U887" s="824"/>
      <c r="V887" s="824"/>
      <c r="W887" s="824"/>
    </row>
    <row r="888" spans="2:23" hidden="1">
      <c r="B888" s="515"/>
      <c r="C888" s="516"/>
      <c r="D888" s="515"/>
      <c r="E888" s="824"/>
      <c r="F888" s="824"/>
      <c r="G888" s="824"/>
      <c r="H888" s="824"/>
      <c r="I888" s="824"/>
      <c r="J888" s="824"/>
      <c r="K888" s="824"/>
      <c r="L888" s="824"/>
      <c r="M888" s="824"/>
      <c r="N888" s="824"/>
      <c r="O888" s="824"/>
      <c r="P888" s="824"/>
      <c r="Q888" s="824"/>
      <c r="R888" s="824"/>
      <c r="S888" s="824"/>
      <c r="T888" s="824"/>
      <c r="U888" s="824"/>
      <c r="V888" s="824"/>
      <c r="W888" s="824"/>
    </row>
    <row r="889" spans="2:23" hidden="1">
      <c r="B889" s="515"/>
      <c r="C889" s="516"/>
      <c r="D889" s="515"/>
      <c r="E889" s="824"/>
      <c r="F889" s="824"/>
      <c r="G889" s="824"/>
      <c r="H889" s="824"/>
      <c r="I889" s="824"/>
      <c r="J889" s="824"/>
      <c r="K889" s="824"/>
      <c r="L889" s="824"/>
      <c r="M889" s="824"/>
      <c r="N889" s="824"/>
      <c r="O889" s="824"/>
      <c r="P889" s="824"/>
      <c r="Q889" s="824"/>
      <c r="R889" s="824"/>
      <c r="S889" s="824"/>
      <c r="T889" s="824"/>
      <c r="U889" s="824"/>
      <c r="V889" s="824"/>
      <c r="W889" s="824"/>
    </row>
    <row r="890" spans="2:23" hidden="1">
      <c r="B890" s="515"/>
      <c r="C890" s="516"/>
      <c r="D890" s="515"/>
      <c r="E890" s="824"/>
      <c r="F890" s="824"/>
      <c r="G890" s="824"/>
      <c r="H890" s="824"/>
      <c r="I890" s="824"/>
      <c r="J890" s="824"/>
      <c r="K890" s="824"/>
      <c r="L890" s="824"/>
      <c r="M890" s="824"/>
      <c r="N890" s="824"/>
      <c r="O890" s="824"/>
      <c r="P890" s="824"/>
      <c r="Q890" s="824"/>
      <c r="R890" s="824"/>
      <c r="S890" s="824"/>
      <c r="T890" s="824"/>
      <c r="U890" s="824"/>
      <c r="V890" s="824"/>
      <c r="W890" s="824"/>
    </row>
    <row r="891" spans="2:23" hidden="1">
      <c r="B891" s="515"/>
      <c r="C891" s="516"/>
      <c r="D891" s="515"/>
      <c r="E891" s="824"/>
      <c r="F891" s="824"/>
      <c r="G891" s="824"/>
      <c r="H891" s="824"/>
      <c r="I891" s="824"/>
      <c r="J891" s="824"/>
      <c r="K891" s="824"/>
      <c r="L891" s="824"/>
      <c r="M891" s="824"/>
      <c r="N891" s="824"/>
      <c r="O891" s="824"/>
      <c r="P891" s="824"/>
      <c r="Q891" s="824"/>
      <c r="R891" s="824"/>
      <c r="S891" s="824"/>
      <c r="T891" s="824"/>
      <c r="U891" s="824"/>
      <c r="V891" s="824"/>
      <c r="W891" s="824"/>
    </row>
    <row r="892" spans="2:23" hidden="1">
      <c r="B892" s="515"/>
      <c r="C892" s="516"/>
      <c r="D892" s="515"/>
      <c r="E892" s="824"/>
      <c r="F892" s="824"/>
      <c r="G892" s="824"/>
      <c r="H892" s="824"/>
      <c r="I892" s="824"/>
      <c r="J892" s="824"/>
      <c r="K892" s="824"/>
      <c r="L892" s="824"/>
      <c r="M892" s="824"/>
      <c r="N892" s="824"/>
      <c r="O892" s="824"/>
      <c r="P892" s="824"/>
      <c r="Q892" s="824"/>
      <c r="R892" s="824"/>
      <c r="S892" s="824"/>
      <c r="T892" s="824"/>
      <c r="U892" s="824"/>
      <c r="V892" s="824"/>
      <c r="W892" s="824"/>
    </row>
    <row r="893" spans="2:23" hidden="1">
      <c r="B893" s="515"/>
      <c r="C893" s="516"/>
      <c r="D893" s="515"/>
      <c r="E893" s="824"/>
      <c r="F893" s="824"/>
      <c r="G893" s="824"/>
      <c r="H893" s="824"/>
      <c r="I893" s="824"/>
      <c r="J893" s="824"/>
      <c r="K893" s="824"/>
      <c r="L893" s="824"/>
      <c r="M893" s="824"/>
      <c r="N893" s="824"/>
      <c r="O893" s="824"/>
      <c r="P893" s="824"/>
      <c r="Q893" s="824"/>
      <c r="R893" s="824"/>
      <c r="S893" s="824"/>
      <c r="T893" s="824"/>
      <c r="U893" s="824"/>
      <c r="V893" s="824"/>
      <c r="W893" s="824"/>
    </row>
    <row r="894" spans="2:23" hidden="1">
      <c r="B894" s="515"/>
      <c r="C894" s="516"/>
      <c r="D894" s="515"/>
      <c r="E894" s="824"/>
      <c r="F894" s="824"/>
      <c r="G894" s="824"/>
      <c r="H894" s="824"/>
      <c r="I894" s="824"/>
      <c r="J894" s="824"/>
      <c r="K894" s="824"/>
      <c r="L894" s="824"/>
      <c r="M894" s="824"/>
      <c r="N894" s="824"/>
      <c r="O894" s="824"/>
      <c r="P894" s="824"/>
      <c r="Q894" s="824"/>
      <c r="R894" s="824"/>
      <c r="S894" s="824"/>
      <c r="T894" s="824"/>
      <c r="U894" s="824"/>
      <c r="V894" s="824"/>
      <c r="W894" s="824"/>
    </row>
    <row r="895" spans="2:23" hidden="1">
      <c r="B895" s="515"/>
      <c r="C895" s="516"/>
      <c r="D895" s="515"/>
      <c r="E895" s="824"/>
      <c r="F895" s="824"/>
      <c r="G895" s="824"/>
      <c r="H895" s="824"/>
      <c r="I895" s="824"/>
      <c r="J895" s="824"/>
      <c r="K895" s="824"/>
      <c r="L895" s="824"/>
      <c r="M895" s="824"/>
      <c r="N895" s="824"/>
      <c r="O895" s="824"/>
      <c r="P895" s="824"/>
      <c r="Q895" s="824"/>
      <c r="R895" s="824"/>
      <c r="S895" s="824"/>
      <c r="T895" s="824"/>
      <c r="U895" s="824"/>
      <c r="V895" s="824"/>
      <c r="W895" s="824"/>
    </row>
    <row r="896" spans="2:23" hidden="1">
      <c r="B896" s="515"/>
      <c r="C896" s="516"/>
      <c r="D896" s="515"/>
      <c r="E896" s="824"/>
      <c r="F896" s="824"/>
      <c r="G896" s="824"/>
      <c r="H896" s="824"/>
      <c r="I896" s="824"/>
      <c r="J896" s="824"/>
      <c r="K896" s="824"/>
      <c r="L896" s="824"/>
      <c r="M896" s="824"/>
      <c r="N896" s="824"/>
      <c r="O896" s="824"/>
      <c r="P896" s="824"/>
      <c r="Q896" s="824"/>
      <c r="R896" s="824"/>
      <c r="S896" s="824"/>
      <c r="T896" s="824"/>
      <c r="U896" s="824"/>
      <c r="V896" s="824"/>
      <c r="W896" s="824"/>
    </row>
    <row r="897" spans="2:23" hidden="1">
      <c r="B897" s="515"/>
      <c r="C897" s="516"/>
      <c r="D897" s="515"/>
      <c r="E897" s="824"/>
      <c r="F897" s="824"/>
      <c r="G897" s="824"/>
      <c r="H897" s="824"/>
      <c r="I897" s="824"/>
      <c r="J897" s="824"/>
      <c r="K897" s="824"/>
      <c r="L897" s="824"/>
      <c r="M897" s="824"/>
      <c r="N897" s="824"/>
      <c r="O897" s="824"/>
      <c r="P897" s="824"/>
      <c r="Q897" s="824"/>
      <c r="R897" s="824"/>
      <c r="S897" s="824"/>
      <c r="T897" s="824"/>
      <c r="U897" s="824"/>
      <c r="V897" s="824"/>
      <c r="W897" s="824"/>
    </row>
    <row r="898" spans="2:23" hidden="1">
      <c r="B898" s="515"/>
      <c r="C898" s="516"/>
      <c r="D898" s="515"/>
      <c r="E898" s="824"/>
      <c r="F898" s="824"/>
      <c r="G898" s="824"/>
      <c r="H898" s="824"/>
      <c r="I898" s="824"/>
      <c r="J898" s="824"/>
      <c r="K898" s="824"/>
      <c r="L898" s="824"/>
      <c r="M898" s="824"/>
      <c r="N898" s="824"/>
      <c r="O898" s="824"/>
      <c r="P898" s="824"/>
      <c r="Q898" s="824"/>
      <c r="R898" s="824"/>
      <c r="S898" s="824"/>
      <c r="T898" s="824"/>
      <c r="U898" s="824"/>
      <c r="V898" s="824"/>
      <c r="W898" s="824"/>
    </row>
    <row r="899" spans="2:23" hidden="1">
      <c r="B899" s="515"/>
      <c r="C899" s="516"/>
      <c r="D899" s="515"/>
      <c r="E899" s="824"/>
      <c r="F899" s="824"/>
      <c r="G899" s="824"/>
      <c r="H899" s="824"/>
      <c r="I899" s="824"/>
      <c r="J899" s="824"/>
      <c r="K899" s="824"/>
      <c r="L899" s="824"/>
      <c r="M899" s="824"/>
      <c r="N899" s="824"/>
      <c r="O899" s="824"/>
      <c r="P899" s="824"/>
      <c r="Q899" s="824"/>
      <c r="R899" s="824"/>
      <c r="S899" s="824"/>
      <c r="T899" s="824"/>
      <c r="U899" s="824"/>
      <c r="V899" s="824"/>
      <c r="W899" s="824"/>
    </row>
    <row r="900" spans="2:23" hidden="1">
      <c r="B900" s="515"/>
      <c r="C900" s="516"/>
      <c r="D900" s="515"/>
      <c r="E900" s="824"/>
      <c r="F900" s="824"/>
      <c r="G900" s="824"/>
      <c r="H900" s="824"/>
      <c r="I900" s="824"/>
      <c r="J900" s="824"/>
      <c r="K900" s="824"/>
      <c r="L900" s="824"/>
      <c r="M900" s="824"/>
      <c r="N900" s="824"/>
      <c r="O900" s="824"/>
      <c r="P900" s="824"/>
      <c r="Q900" s="824"/>
      <c r="R900" s="824"/>
      <c r="S900" s="824"/>
      <c r="T900" s="824"/>
      <c r="U900" s="824"/>
      <c r="V900" s="824"/>
      <c r="W900" s="824"/>
    </row>
    <row r="901" spans="2:23" hidden="1">
      <c r="B901" s="515"/>
      <c r="C901" s="516"/>
      <c r="D901" s="515"/>
      <c r="E901" s="824"/>
      <c r="F901" s="824"/>
      <c r="G901" s="824"/>
      <c r="H901" s="824"/>
      <c r="I901" s="824"/>
      <c r="J901" s="824"/>
      <c r="K901" s="824"/>
      <c r="L901" s="824"/>
      <c r="M901" s="824"/>
      <c r="N901" s="824"/>
      <c r="O901" s="824"/>
      <c r="P901" s="824"/>
      <c r="Q901" s="824"/>
      <c r="R901" s="824"/>
      <c r="S901" s="824"/>
      <c r="T901" s="824"/>
      <c r="U901" s="824"/>
      <c r="V901" s="824"/>
      <c r="W901" s="824"/>
    </row>
    <row r="902" spans="2:23" hidden="1">
      <c r="B902" s="515"/>
      <c r="C902" s="516"/>
      <c r="D902" s="515"/>
      <c r="E902" s="824"/>
      <c r="F902" s="824"/>
      <c r="G902" s="824"/>
      <c r="H902" s="824"/>
      <c r="I902" s="824"/>
      <c r="J902" s="824"/>
      <c r="K902" s="824"/>
      <c r="L902" s="824"/>
      <c r="M902" s="824"/>
      <c r="N902" s="824"/>
      <c r="O902" s="824"/>
      <c r="P902" s="824"/>
      <c r="Q902" s="824"/>
      <c r="R902" s="824"/>
      <c r="S902" s="824"/>
      <c r="T902" s="824"/>
      <c r="U902" s="824"/>
      <c r="V902" s="824"/>
      <c r="W902" s="824"/>
    </row>
    <row r="903" spans="2:23" hidden="1">
      <c r="B903" s="515"/>
      <c r="C903" s="516"/>
      <c r="D903" s="515"/>
      <c r="E903" s="824"/>
      <c r="F903" s="824"/>
      <c r="G903" s="824"/>
      <c r="H903" s="824"/>
      <c r="I903" s="824"/>
      <c r="J903" s="824"/>
      <c r="K903" s="824"/>
      <c r="L903" s="824"/>
      <c r="M903" s="824"/>
      <c r="N903" s="824"/>
      <c r="O903" s="824"/>
      <c r="P903" s="824"/>
      <c r="Q903" s="824"/>
      <c r="R903" s="824"/>
      <c r="S903" s="824"/>
      <c r="T903" s="824"/>
      <c r="U903" s="824"/>
      <c r="V903" s="824"/>
      <c r="W903" s="824"/>
    </row>
    <row r="904" spans="2:23" hidden="1">
      <c r="B904" s="515"/>
      <c r="C904" s="516"/>
      <c r="D904" s="515"/>
      <c r="E904" s="824"/>
      <c r="F904" s="824"/>
      <c r="G904" s="824"/>
      <c r="H904" s="824"/>
      <c r="I904" s="824"/>
      <c r="J904" s="824"/>
      <c r="K904" s="824"/>
      <c r="L904" s="824"/>
      <c r="M904" s="824"/>
      <c r="N904" s="824"/>
      <c r="O904" s="824"/>
      <c r="P904" s="824"/>
      <c r="Q904" s="824"/>
      <c r="R904" s="824"/>
      <c r="S904" s="824"/>
      <c r="T904" s="824"/>
      <c r="U904" s="824"/>
      <c r="V904" s="824"/>
      <c r="W904" s="824"/>
    </row>
    <row r="905" spans="2:23" hidden="1">
      <c r="B905" s="515"/>
      <c r="C905" s="516"/>
      <c r="D905" s="515"/>
      <c r="E905" s="824"/>
      <c r="F905" s="824"/>
      <c r="G905" s="824"/>
      <c r="H905" s="824"/>
      <c r="I905" s="824"/>
      <c r="J905" s="824"/>
      <c r="K905" s="824"/>
      <c r="L905" s="824"/>
      <c r="M905" s="824"/>
      <c r="N905" s="824"/>
      <c r="O905" s="824"/>
      <c r="P905" s="824"/>
      <c r="Q905" s="824"/>
      <c r="R905" s="824"/>
      <c r="S905" s="824"/>
      <c r="T905" s="824"/>
      <c r="U905" s="824"/>
      <c r="V905" s="824"/>
      <c r="W905" s="824"/>
    </row>
    <row r="906" spans="2:23" hidden="1">
      <c r="B906" s="515"/>
      <c r="C906" s="516"/>
      <c r="D906" s="515"/>
      <c r="E906" s="824"/>
      <c r="F906" s="824"/>
      <c r="G906" s="824"/>
      <c r="H906" s="824"/>
      <c r="I906" s="824"/>
      <c r="J906" s="824"/>
      <c r="K906" s="824"/>
      <c r="L906" s="824"/>
      <c r="M906" s="824"/>
      <c r="N906" s="824"/>
      <c r="O906" s="824"/>
      <c r="P906" s="824"/>
      <c r="Q906" s="824"/>
      <c r="R906" s="824"/>
      <c r="S906" s="824"/>
      <c r="T906" s="824"/>
      <c r="U906" s="824"/>
      <c r="V906" s="824"/>
      <c r="W906" s="824"/>
    </row>
    <row r="907" spans="2:23" hidden="1">
      <c r="B907" s="515"/>
      <c r="C907" s="516"/>
      <c r="D907" s="515"/>
      <c r="E907" s="824"/>
      <c r="F907" s="824"/>
      <c r="G907" s="824"/>
      <c r="H907" s="824"/>
      <c r="I907" s="824"/>
      <c r="J907" s="824"/>
      <c r="K907" s="824"/>
      <c r="L907" s="824"/>
      <c r="M907" s="824"/>
      <c r="N907" s="824"/>
      <c r="O907" s="824"/>
      <c r="P907" s="824"/>
      <c r="Q907" s="824"/>
      <c r="R907" s="824"/>
      <c r="S907" s="824"/>
      <c r="T907" s="824"/>
      <c r="U907" s="824"/>
      <c r="V907" s="824"/>
      <c r="W907" s="824"/>
    </row>
    <row r="908" spans="2:23" hidden="1">
      <c r="B908" s="515"/>
      <c r="C908" s="516"/>
      <c r="D908" s="515"/>
      <c r="E908" s="824"/>
      <c r="F908" s="824"/>
      <c r="G908" s="824"/>
      <c r="H908" s="824"/>
      <c r="I908" s="824"/>
      <c r="J908" s="824"/>
      <c r="K908" s="824"/>
      <c r="L908" s="824"/>
      <c r="M908" s="824"/>
      <c r="N908" s="824"/>
      <c r="O908" s="824"/>
      <c r="P908" s="824"/>
      <c r="Q908" s="824"/>
      <c r="R908" s="824"/>
      <c r="S908" s="824"/>
      <c r="T908" s="824"/>
      <c r="U908" s="824"/>
      <c r="V908" s="824"/>
      <c r="W908" s="824"/>
    </row>
    <row r="909" spans="2:23" hidden="1">
      <c r="B909" s="515"/>
      <c r="C909" s="516"/>
      <c r="D909" s="515"/>
      <c r="E909" s="824"/>
      <c r="F909" s="824"/>
      <c r="G909" s="824"/>
      <c r="H909" s="824"/>
      <c r="I909" s="824"/>
      <c r="J909" s="824"/>
      <c r="K909" s="824"/>
      <c r="L909" s="824"/>
      <c r="M909" s="824"/>
      <c r="N909" s="824"/>
      <c r="O909" s="824"/>
      <c r="P909" s="824"/>
      <c r="Q909" s="824"/>
      <c r="R909" s="824"/>
      <c r="S909" s="824"/>
      <c r="T909" s="824"/>
      <c r="U909" s="824"/>
      <c r="V909" s="824"/>
      <c r="W909" s="824"/>
    </row>
    <row r="910" spans="2:23" hidden="1">
      <c r="B910" s="515"/>
      <c r="C910" s="516"/>
      <c r="D910" s="515"/>
      <c r="E910" s="824"/>
      <c r="F910" s="824"/>
      <c r="G910" s="824"/>
      <c r="H910" s="824"/>
      <c r="I910" s="824"/>
      <c r="J910" s="824"/>
      <c r="K910" s="824"/>
      <c r="L910" s="824"/>
      <c r="M910" s="824"/>
      <c r="N910" s="824"/>
      <c r="O910" s="824"/>
      <c r="P910" s="824"/>
      <c r="Q910" s="824"/>
      <c r="R910" s="824"/>
      <c r="S910" s="824"/>
      <c r="T910" s="824"/>
      <c r="U910" s="824"/>
      <c r="V910" s="824"/>
      <c r="W910" s="824"/>
    </row>
    <row r="911" spans="2:23" hidden="1">
      <c r="B911" s="515"/>
      <c r="C911" s="516"/>
      <c r="D911" s="515"/>
      <c r="E911" s="824"/>
      <c r="F911" s="824"/>
      <c r="G911" s="824"/>
      <c r="H911" s="824"/>
      <c r="I911" s="824"/>
      <c r="J911" s="824"/>
      <c r="K911" s="824"/>
      <c r="L911" s="824"/>
      <c r="M911" s="824"/>
      <c r="N911" s="824"/>
      <c r="O911" s="824"/>
      <c r="P911" s="824"/>
      <c r="Q911" s="824"/>
      <c r="R911" s="824"/>
      <c r="S911" s="824"/>
      <c r="T911" s="824"/>
      <c r="U911" s="824"/>
      <c r="V911" s="824"/>
      <c r="W911" s="824"/>
    </row>
    <row r="912" spans="2:23" hidden="1">
      <c r="B912" s="515"/>
      <c r="C912" s="516"/>
      <c r="D912" s="515"/>
      <c r="E912" s="824"/>
      <c r="F912" s="824"/>
      <c r="G912" s="824"/>
      <c r="H912" s="824"/>
      <c r="I912" s="824"/>
      <c r="J912" s="824"/>
      <c r="K912" s="824"/>
      <c r="L912" s="824"/>
      <c r="M912" s="824"/>
      <c r="N912" s="824"/>
      <c r="O912" s="824"/>
      <c r="P912" s="824"/>
      <c r="Q912" s="824"/>
      <c r="R912" s="824"/>
      <c r="S912" s="824"/>
      <c r="T912" s="824"/>
      <c r="U912" s="824"/>
      <c r="V912" s="824"/>
      <c r="W912" s="824"/>
    </row>
    <row r="913" spans="2:23" hidden="1">
      <c r="B913" s="515"/>
      <c r="C913" s="516"/>
      <c r="D913" s="515"/>
      <c r="E913" s="824"/>
      <c r="F913" s="824"/>
      <c r="G913" s="824"/>
      <c r="H913" s="824"/>
      <c r="I913" s="824"/>
      <c r="J913" s="824"/>
      <c r="K913" s="824"/>
      <c r="L913" s="824"/>
      <c r="M913" s="824"/>
      <c r="N913" s="824"/>
      <c r="O913" s="824"/>
      <c r="P913" s="824"/>
      <c r="Q913" s="824"/>
      <c r="R913" s="824"/>
      <c r="S913" s="824"/>
      <c r="T913" s="824"/>
      <c r="U913" s="824"/>
      <c r="V913" s="824"/>
      <c r="W913" s="824"/>
    </row>
    <row r="914" spans="2:23" hidden="1">
      <c r="B914" s="515"/>
      <c r="C914" s="516"/>
      <c r="D914" s="515"/>
      <c r="E914" s="824"/>
      <c r="F914" s="824"/>
      <c r="G914" s="824"/>
      <c r="H914" s="824"/>
      <c r="I914" s="824"/>
      <c r="J914" s="824"/>
      <c r="K914" s="824"/>
      <c r="L914" s="824"/>
      <c r="M914" s="824"/>
      <c r="N914" s="824"/>
      <c r="O914" s="824"/>
      <c r="P914" s="824"/>
      <c r="Q914" s="824"/>
      <c r="R914" s="824"/>
      <c r="S914" s="824"/>
      <c r="T914" s="824"/>
      <c r="U914" s="824"/>
      <c r="V914" s="824"/>
      <c r="W914" s="824"/>
    </row>
    <row r="915" spans="2:23" hidden="1">
      <c r="B915" s="515"/>
      <c r="C915" s="516"/>
      <c r="D915" s="515"/>
      <c r="E915" s="824"/>
      <c r="F915" s="824"/>
      <c r="G915" s="824"/>
      <c r="H915" s="824"/>
      <c r="I915" s="824"/>
      <c r="J915" s="824"/>
      <c r="K915" s="824"/>
      <c r="L915" s="824"/>
      <c r="M915" s="824"/>
      <c r="N915" s="824"/>
      <c r="O915" s="824"/>
      <c r="P915" s="824"/>
      <c r="Q915" s="824"/>
      <c r="R915" s="824"/>
      <c r="S915" s="824"/>
      <c r="T915" s="824"/>
      <c r="U915" s="824"/>
      <c r="V915" s="824"/>
      <c r="W915" s="824"/>
    </row>
    <row r="916" spans="2:23" hidden="1">
      <c r="B916" s="515"/>
      <c r="C916" s="516"/>
      <c r="D916" s="515"/>
      <c r="E916" s="824"/>
      <c r="F916" s="824"/>
      <c r="G916" s="824"/>
      <c r="H916" s="824"/>
      <c r="I916" s="824"/>
      <c r="J916" s="824"/>
      <c r="K916" s="824"/>
      <c r="L916" s="824"/>
      <c r="M916" s="824"/>
      <c r="N916" s="824"/>
      <c r="O916" s="824"/>
      <c r="P916" s="824"/>
      <c r="Q916" s="824"/>
      <c r="R916" s="824"/>
      <c r="S916" s="824"/>
      <c r="T916" s="824"/>
      <c r="U916" s="824"/>
      <c r="V916" s="824"/>
      <c r="W916" s="824"/>
    </row>
    <row r="917" spans="2:23" hidden="1">
      <c r="B917" s="515"/>
      <c r="C917" s="516"/>
      <c r="D917" s="515"/>
      <c r="E917" s="824"/>
      <c r="F917" s="824"/>
      <c r="G917" s="824"/>
      <c r="H917" s="824"/>
      <c r="I917" s="824"/>
      <c r="J917" s="824"/>
      <c r="K917" s="824"/>
      <c r="L917" s="824"/>
      <c r="M917" s="824"/>
      <c r="N917" s="824"/>
      <c r="O917" s="824"/>
      <c r="P917" s="824"/>
      <c r="Q917" s="824"/>
      <c r="R917" s="824"/>
      <c r="S917" s="824"/>
      <c r="T917" s="824"/>
      <c r="U917" s="824"/>
      <c r="V917" s="824"/>
      <c r="W917" s="824"/>
    </row>
    <row r="918" spans="2:23" hidden="1">
      <c r="B918" s="515"/>
      <c r="C918" s="516"/>
      <c r="D918" s="515"/>
      <c r="E918" s="824"/>
      <c r="F918" s="824"/>
      <c r="G918" s="824"/>
      <c r="H918" s="824"/>
      <c r="I918" s="824"/>
      <c r="J918" s="824"/>
      <c r="K918" s="824"/>
      <c r="L918" s="824"/>
      <c r="M918" s="824"/>
      <c r="N918" s="824"/>
      <c r="O918" s="824"/>
      <c r="P918" s="824"/>
      <c r="Q918" s="824"/>
      <c r="R918" s="824"/>
      <c r="S918" s="824"/>
      <c r="T918" s="824"/>
      <c r="U918" s="824"/>
      <c r="V918" s="824"/>
      <c r="W918" s="824"/>
    </row>
    <row r="919" spans="2:23" hidden="1">
      <c r="B919" s="515"/>
      <c r="C919" s="516"/>
      <c r="D919" s="515"/>
      <c r="E919" s="824"/>
      <c r="F919" s="824"/>
      <c r="G919" s="824"/>
      <c r="H919" s="824"/>
      <c r="I919" s="824"/>
      <c r="J919" s="824"/>
      <c r="K919" s="824"/>
      <c r="L919" s="824"/>
      <c r="M919" s="824"/>
      <c r="N919" s="824"/>
      <c r="O919" s="824"/>
      <c r="P919" s="824"/>
      <c r="Q919" s="824"/>
      <c r="R919" s="824"/>
      <c r="S919" s="824"/>
      <c r="T919" s="824"/>
      <c r="U919" s="824"/>
      <c r="V919" s="824"/>
      <c r="W919" s="824"/>
    </row>
    <row r="920" spans="2:23" hidden="1">
      <c r="B920" s="515"/>
      <c r="C920" s="516"/>
      <c r="D920" s="515"/>
      <c r="E920" s="824"/>
      <c r="F920" s="824"/>
      <c r="G920" s="824"/>
      <c r="H920" s="824"/>
      <c r="I920" s="824"/>
      <c r="J920" s="824"/>
      <c r="K920" s="824"/>
      <c r="L920" s="824"/>
      <c r="M920" s="824"/>
      <c r="N920" s="824"/>
      <c r="O920" s="824"/>
      <c r="P920" s="824"/>
      <c r="Q920" s="824"/>
      <c r="R920" s="824"/>
      <c r="S920" s="824"/>
      <c r="T920" s="824"/>
      <c r="U920" s="824"/>
      <c r="V920" s="824"/>
      <c r="W920" s="824"/>
    </row>
    <row r="921" spans="2:23" hidden="1">
      <c r="B921" s="515"/>
      <c r="C921" s="516"/>
      <c r="D921" s="515"/>
      <c r="E921" s="824"/>
      <c r="F921" s="824"/>
      <c r="G921" s="824"/>
      <c r="H921" s="824"/>
      <c r="I921" s="824"/>
      <c r="J921" s="824"/>
      <c r="K921" s="824"/>
      <c r="L921" s="824"/>
      <c r="M921" s="824"/>
      <c r="N921" s="824"/>
      <c r="O921" s="824"/>
      <c r="P921" s="824"/>
      <c r="Q921" s="824"/>
      <c r="R921" s="824"/>
      <c r="S921" s="824"/>
      <c r="T921" s="824"/>
      <c r="U921" s="824"/>
      <c r="V921" s="824"/>
      <c r="W921" s="824"/>
    </row>
    <row r="922" spans="2:23" hidden="1">
      <c r="B922" s="515"/>
      <c r="C922" s="516"/>
      <c r="D922" s="515"/>
      <c r="E922" s="824"/>
      <c r="F922" s="824"/>
      <c r="G922" s="824"/>
      <c r="H922" s="824"/>
      <c r="I922" s="824"/>
      <c r="J922" s="824"/>
      <c r="K922" s="824"/>
      <c r="L922" s="824"/>
      <c r="M922" s="824"/>
      <c r="N922" s="824"/>
      <c r="O922" s="824"/>
      <c r="P922" s="824"/>
      <c r="Q922" s="824"/>
      <c r="R922" s="824"/>
      <c r="S922" s="824"/>
      <c r="T922" s="824"/>
      <c r="U922" s="824"/>
      <c r="V922" s="824"/>
      <c r="W922" s="824"/>
    </row>
    <row r="923" spans="2:23" hidden="1">
      <c r="B923" s="515"/>
      <c r="C923" s="516"/>
      <c r="D923" s="515"/>
      <c r="E923" s="824"/>
      <c r="F923" s="824"/>
      <c r="G923" s="824"/>
      <c r="H923" s="824"/>
      <c r="I923" s="824"/>
      <c r="J923" s="824"/>
      <c r="K923" s="824"/>
      <c r="L923" s="824"/>
      <c r="M923" s="824"/>
      <c r="N923" s="824"/>
      <c r="O923" s="824"/>
      <c r="P923" s="824"/>
      <c r="Q923" s="824"/>
      <c r="R923" s="824"/>
      <c r="S923" s="824"/>
      <c r="T923" s="824"/>
      <c r="U923" s="824"/>
      <c r="V923" s="824"/>
      <c r="W923" s="824"/>
    </row>
    <row r="924" spans="2:23" hidden="1">
      <c r="B924" s="515"/>
      <c r="C924" s="516"/>
      <c r="D924" s="515"/>
      <c r="E924" s="824"/>
      <c r="F924" s="824"/>
      <c r="G924" s="824"/>
      <c r="H924" s="824"/>
      <c r="I924" s="824"/>
      <c r="J924" s="824"/>
      <c r="K924" s="824"/>
      <c r="L924" s="824"/>
      <c r="M924" s="824"/>
      <c r="N924" s="824"/>
      <c r="O924" s="824"/>
      <c r="P924" s="824"/>
      <c r="Q924" s="824"/>
      <c r="R924" s="824"/>
      <c r="S924" s="824"/>
      <c r="T924" s="824"/>
      <c r="U924" s="824"/>
      <c r="V924" s="824"/>
      <c r="W924" s="824"/>
    </row>
    <row r="925" spans="2:23" hidden="1">
      <c r="B925" s="515"/>
      <c r="C925" s="516"/>
      <c r="D925" s="515"/>
      <c r="E925" s="824"/>
      <c r="F925" s="824"/>
      <c r="G925" s="824"/>
      <c r="H925" s="824"/>
      <c r="I925" s="824"/>
      <c r="J925" s="824"/>
      <c r="K925" s="824"/>
      <c r="L925" s="824"/>
      <c r="M925" s="824"/>
      <c r="N925" s="824"/>
      <c r="O925" s="824"/>
      <c r="P925" s="824"/>
      <c r="Q925" s="824"/>
      <c r="R925" s="824"/>
      <c r="S925" s="824"/>
      <c r="T925" s="824"/>
      <c r="U925" s="824"/>
      <c r="V925" s="824"/>
      <c r="W925" s="824"/>
    </row>
    <row r="926" spans="2:23" hidden="1">
      <c r="B926" s="515"/>
      <c r="C926" s="516"/>
      <c r="D926" s="515"/>
      <c r="E926" s="824"/>
      <c r="F926" s="824"/>
      <c r="G926" s="824"/>
      <c r="H926" s="824"/>
      <c r="I926" s="824"/>
      <c r="J926" s="824"/>
      <c r="K926" s="824"/>
      <c r="L926" s="824"/>
      <c r="M926" s="824"/>
      <c r="N926" s="824"/>
      <c r="O926" s="824"/>
      <c r="P926" s="824"/>
      <c r="Q926" s="824"/>
      <c r="R926" s="824"/>
      <c r="S926" s="824"/>
      <c r="T926" s="824"/>
      <c r="U926" s="824"/>
      <c r="V926" s="824"/>
      <c r="W926" s="824"/>
    </row>
    <row r="927" spans="2:23" hidden="1">
      <c r="B927" s="515"/>
      <c r="C927" s="516"/>
      <c r="D927" s="515"/>
      <c r="E927" s="824"/>
      <c r="F927" s="824"/>
      <c r="G927" s="824"/>
      <c r="H927" s="824"/>
      <c r="I927" s="824"/>
      <c r="J927" s="824"/>
      <c r="K927" s="824"/>
      <c r="L927" s="824"/>
      <c r="M927" s="824"/>
      <c r="N927" s="824"/>
      <c r="O927" s="824"/>
      <c r="P927" s="824"/>
      <c r="Q927" s="824"/>
      <c r="R927" s="824"/>
      <c r="S927" s="824"/>
      <c r="T927" s="824"/>
      <c r="U927" s="824"/>
      <c r="V927" s="824"/>
      <c r="W927" s="824"/>
    </row>
    <row r="928" spans="2:23" hidden="1">
      <c r="B928" s="515"/>
      <c r="C928" s="516"/>
      <c r="D928" s="515"/>
      <c r="E928" s="824"/>
      <c r="F928" s="824"/>
      <c r="G928" s="824"/>
      <c r="H928" s="824"/>
      <c r="I928" s="824"/>
      <c r="J928" s="824"/>
      <c r="K928" s="824"/>
      <c r="L928" s="824"/>
      <c r="M928" s="824"/>
      <c r="N928" s="824"/>
      <c r="O928" s="824"/>
      <c r="P928" s="824"/>
      <c r="Q928" s="824"/>
      <c r="R928" s="824"/>
      <c r="S928" s="824"/>
      <c r="T928" s="824"/>
      <c r="U928" s="824"/>
      <c r="V928" s="824"/>
      <c r="W928" s="824"/>
    </row>
    <row r="929" spans="2:23" hidden="1">
      <c r="B929" s="515"/>
      <c r="C929" s="516"/>
      <c r="D929" s="515"/>
      <c r="E929" s="824"/>
      <c r="F929" s="824"/>
      <c r="G929" s="824"/>
      <c r="H929" s="824"/>
      <c r="I929" s="824"/>
      <c r="J929" s="824"/>
      <c r="K929" s="824"/>
      <c r="L929" s="824"/>
      <c r="M929" s="824"/>
      <c r="N929" s="824"/>
      <c r="O929" s="824"/>
      <c r="P929" s="824"/>
      <c r="Q929" s="824"/>
      <c r="R929" s="824"/>
      <c r="S929" s="824"/>
      <c r="T929" s="824"/>
      <c r="U929" s="824"/>
      <c r="V929" s="824"/>
      <c r="W929" s="824"/>
    </row>
    <row r="930" spans="2:23" hidden="1">
      <c r="B930" s="515"/>
      <c r="C930" s="516"/>
      <c r="D930" s="515"/>
      <c r="E930" s="824"/>
      <c r="F930" s="824"/>
      <c r="G930" s="824"/>
      <c r="H930" s="824"/>
      <c r="I930" s="824"/>
      <c r="J930" s="824"/>
      <c r="K930" s="824"/>
      <c r="L930" s="824"/>
      <c r="M930" s="824"/>
      <c r="N930" s="824"/>
      <c r="O930" s="824"/>
      <c r="P930" s="824"/>
      <c r="Q930" s="824"/>
      <c r="R930" s="824"/>
      <c r="S930" s="824"/>
      <c r="T930" s="824"/>
      <c r="U930" s="824"/>
      <c r="V930" s="824"/>
      <c r="W930" s="824"/>
    </row>
    <row r="931" spans="2:23" hidden="1">
      <c r="B931" s="515"/>
      <c r="C931" s="516"/>
      <c r="D931" s="515"/>
      <c r="E931" s="824"/>
      <c r="F931" s="824"/>
      <c r="G931" s="824"/>
      <c r="H931" s="824"/>
      <c r="I931" s="824"/>
      <c r="J931" s="824"/>
      <c r="K931" s="824"/>
      <c r="L931" s="824"/>
      <c r="M931" s="824"/>
      <c r="N931" s="824"/>
      <c r="O931" s="824"/>
      <c r="P931" s="824"/>
      <c r="Q931" s="824"/>
      <c r="R931" s="824"/>
      <c r="S931" s="824"/>
      <c r="T931" s="824"/>
      <c r="U931" s="824"/>
      <c r="V931" s="824"/>
      <c r="W931" s="824"/>
    </row>
    <row r="932" spans="2:23" hidden="1">
      <c r="B932" s="515"/>
      <c r="C932" s="516"/>
      <c r="D932" s="515"/>
      <c r="E932" s="824"/>
      <c r="F932" s="824"/>
      <c r="G932" s="824"/>
      <c r="H932" s="824"/>
      <c r="I932" s="824"/>
      <c r="J932" s="824"/>
      <c r="K932" s="824"/>
      <c r="L932" s="824"/>
      <c r="M932" s="824"/>
      <c r="N932" s="824"/>
      <c r="O932" s="824"/>
      <c r="P932" s="824"/>
      <c r="Q932" s="824"/>
      <c r="R932" s="824"/>
      <c r="S932" s="824"/>
      <c r="T932" s="824"/>
      <c r="U932" s="824"/>
      <c r="V932" s="824"/>
      <c r="W932" s="824"/>
    </row>
    <row r="933" spans="2:23" hidden="1">
      <c r="B933" s="515"/>
      <c r="C933" s="516"/>
      <c r="D933" s="515"/>
      <c r="E933" s="824"/>
      <c r="F933" s="824"/>
      <c r="G933" s="824"/>
      <c r="H933" s="824"/>
      <c r="I933" s="824"/>
      <c r="J933" s="824"/>
      <c r="K933" s="824"/>
      <c r="L933" s="824"/>
      <c r="M933" s="824"/>
      <c r="N933" s="824"/>
      <c r="O933" s="824"/>
      <c r="P933" s="824"/>
      <c r="Q933" s="824"/>
      <c r="R933" s="824"/>
      <c r="S933" s="824"/>
      <c r="T933" s="824"/>
      <c r="U933" s="824"/>
      <c r="V933" s="824"/>
      <c r="W933" s="824"/>
    </row>
    <row r="934" spans="2:23" hidden="1">
      <c r="B934" s="515"/>
      <c r="C934" s="516"/>
      <c r="D934" s="515"/>
      <c r="E934" s="824"/>
      <c r="F934" s="824"/>
      <c r="G934" s="824"/>
      <c r="H934" s="824"/>
      <c r="I934" s="824"/>
      <c r="J934" s="824"/>
      <c r="K934" s="824"/>
      <c r="L934" s="824"/>
      <c r="M934" s="824"/>
      <c r="N934" s="824"/>
      <c r="O934" s="824"/>
      <c r="P934" s="824"/>
      <c r="Q934" s="824"/>
      <c r="R934" s="824"/>
      <c r="S934" s="824"/>
      <c r="T934" s="824"/>
      <c r="U934" s="824"/>
      <c r="V934" s="824"/>
      <c r="W934" s="824"/>
    </row>
    <row r="935" spans="2:23" hidden="1">
      <c r="B935" s="515"/>
      <c r="C935" s="516"/>
      <c r="D935" s="515"/>
      <c r="E935" s="824"/>
      <c r="F935" s="824"/>
      <c r="G935" s="824"/>
      <c r="H935" s="824"/>
      <c r="I935" s="824"/>
      <c r="J935" s="824"/>
      <c r="K935" s="824"/>
      <c r="L935" s="824"/>
      <c r="M935" s="824"/>
      <c r="N935" s="824"/>
      <c r="O935" s="824"/>
      <c r="P935" s="824"/>
      <c r="Q935" s="824"/>
      <c r="R935" s="824"/>
      <c r="S935" s="824"/>
      <c r="T935" s="824"/>
      <c r="U935" s="824"/>
      <c r="V935" s="824"/>
      <c r="W935" s="824"/>
    </row>
    <row r="936" spans="2:23" hidden="1">
      <c r="B936" s="515"/>
      <c r="C936" s="516"/>
      <c r="D936" s="515"/>
      <c r="E936" s="824"/>
      <c r="F936" s="824"/>
      <c r="G936" s="824"/>
      <c r="H936" s="824"/>
      <c r="I936" s="824"/>
      <c r="J936" s="824"/>
      <c r="K936" s="824"/>
      <c r="L936" s="824"/>
      <c r="M936" s="824"/>
      <c r="N936" s="824"/>
      <c r="O936" s="824"/>
      <c r="P936" s="824"/>
      <c r="Q936" s="824"/>
      <c r="R936" s="824"/>
      <c r="S936" s="824"/>
      <c r="T936" s="824"/>
      <c r="U936" s="824"/>
      <c r="V936" s="824"/>
      <c r="W936" s="824"/>
    </row>
    <row r="937" spans="2:23" hidden="1">
      <c r="B937" s="515"/>
      <c r="C937" s="516"/>
      <c r="D937" s="515"/>
      <c r="E937" s="824"/>
      <c r="F937" s="824"/>
      <c r="G937" s="824"/>
      <c r="H937" s="824"/>
      <c r="I937" s="824"/>
      <c r="J937" s="824"/>
      <c r="K937" s="824"/>
      <c r="L937" s="824"/>
      <c r="M937" s="824"/>
      <c r="N937" s="824"/>
      <c r="O937" s="824"/>
      <c r="P937" s="824"/>
      <c r="Q937" s="824"/>
      <c r="R937" s="824"/>
      <c r="S937" s="824"/>
      <c r="T937" s="824"/>
      <c r="U937" s="824"/>
      <c r="V937" s="824"/>
      <c r="W937" s="824"/>
    </row>
    <row r="938" spans="2:23" hidden="1">
      <c r="B938" s="515"/>
      <c r="C938" s="516"/>
      <c r="D938" s="515"/>
      <c r="E938" s="824"/>
      <c r="F938" s="824"/>
      <c r="G938" s="824"/>
      <c r="H938" s="824"/>
      <c r="I938" s="824"/>
      <c r="J938" s="824"/>
      <c r="K938" s="824"/>
      <c r="L938" s="824"/>
      <c r="M938" s="824"/>
      <c r="N938" s="824"/>
      <c r="O938" s="824"/>
      <c r="P938" s="824"/>
      <c r="Q938" s="824"/>
      <c r="R938" s="824"/>
      <c r="S938" s="824"/>
      <c r="T938" s="824"/>
      <c r="U938" s="824"/>
      <c r="V938" s="824"/>
      <c r="W938" s="824"/>
    </row>
    <row r="939" spans="2:23" hidden="1">
      <c r="B939" s="515"/>
      <c r="C939" s="516"/>
      <c r="D939" s="515"/>
      <c r="E939" s="824"/>
      <c r="F939" s="824"/>
      <c r="G939" s="824"/>
      <c r="H939" s="824"/>
      <c r="I939" s="824"/>
      <c r="J939" s="824"/>
      <c r="K939" s="824"/>
      <c r="L939" s="824"/>
      <c r="M939" s="824"/>
      <c r="N939" s="824"/>
      <c r="O939" s="824"/>
      <c r="P939" s="824"/>
      <c r="Q939" s="824"/>
      <c r="R939" s="824"/>
      <c r="S939" s="824"/>
      <c r="T939" s="824"/>
      <c r="U939" s="824"/>
      <c r="V939" s="824"/>
      <c r="W939" s="824"/>
    </row>
    <row r="940" spans="2:23" hidden="1">
      <c r="B940" s="515"/>
      <c r="C940" s="516"/>
      <c r="D940" s="515"/>
      <c r="E940" s="824"/>
      <c r="F940" s="824"/>
      <c r="G940" s="824"/>
      <c r="H940" s="824"/>
      <c r="I940" s="824"/>
      <c r="J940" s="824"/>
      <c r="K940" s="824"/>
      <c r="L940" s="824"/>
      <c r="M940" s="824"/>
      <c r="N940" s="824"/>
      <c r="O940" s="824"/>
      <c r="P940" s="824"/>
      <c r="Q940" s="824"/>
      <c r="R940" s="824"/>
      <c r="S940" s="824"/>
      <c r="T940" s="824"/>
      <c r="U940" s="824"/>
      <c r="V940" s="824"/>
      <c r="W940" s="824"/>
    </row>
    <row r="941" spans="2:23" hidden="1">
      <c r="B941" s="515"/>
      <c r="C941" s="516"/>
      <c r="D941" s="515"/>
      <c r="E941" s="824"/>
      <c r="F941" s="824"/>
      <c r="G941" s="824"/>
      <c r="H941" s="824"/>
      <c r="I941" s="824"/>
      <c r="J941" s="824"/>
      <c r="K941" s="824"/>
      <c r="L941" s="824"/>
      <c r="M941" s="824"/>
      <c r="N941" s="824"/>
      <c r="O941" s="824"/>
      <c r="P941" s="824"/>
      <c r="Q941" s="824"/>
      <c r="R941" s="824"/>
      <c r="S941" s="824"/>
      <c r="T941" s="824"/>
      <c r="U941" s="824"/>
      <c r="V941" s="824"/>
      <c r="W941" s="824"/>
    </row>
    <row r="942" spans="2:23" hidden="1">
      <c r="B942" s="515"/>
      <c r="C942" s="516"/>
      <c r="D942" s="515"/>
      <c r="E942" s="824"/>
      <c r="F942" s="824"/>
      <c r="G942" s="824"/>
      <c r="H942" s="824"/>
      <c r="I942" s="824"/>
      <c r="J942" s="824"/>
      <c r="K942" s="824"/>
      <c r="L942" s="824"/>
      <c r="M942" s="824"/>
      <c r="N942" s="824"/>
      <c r="O942" s="824"/>
      <c r="P942" s="824"/>
      <c r="Q942" s="824"/>
      <c r="R942" s="824"/>
      <c r="S942" s="824"/>
      <c r="T942" s="824"/>
      <c r="U942" s="824"/>
      <c r="V942" s="824"/>
      <c r="W942" s="824"/>
    </row>
    <row r="943" spans="2:23" hidden="1">
      <c r="B943" s="515"/>
      <c r="C943" s="516"/>
      <c r="D943" s="515"/>
      <c r="E943" s="824"/>
      <c r="F943" s="824"/>
      <c r="G943" s="824"/>
      <c r="H943" s="824"/>
      <c r="I943" s="824"/>
      <c r="J943" s="824"/>
      <c r="K943" s="824"/>
      <c r="L943" s="824"/>
      <c r="M943" s="824"/>
      <c r="N943" s="824"/>
      <c r="O943" s="824"/>
      <c r="P943" s="824"/>
      <c r="Q943" s="824"/>
      <c r="R943" s="824"/>
      <c r="S943" s="824"/>
      <c r="T943" s="824"/>
      <c r="U943" s="824"/>
      <c r="V943" s="824"/>
      <c r="W943" s="824"/>
    </row>
    <row r="944" spans="2:23" hidden="1">
      <c r="B944" s="515"/>
      <c r="C944" s="516"/>
      <c r="D944" s="515"/>
      <c r="E944" s="824"/>
      <c r="F944" s="824"/>
      <c r="G944" s="824"/>
      <c r="H944" s="824"/>
      <c r="I944" s="824"/>
      <c r="J944" s="824"/>
      <c r="K944" s="824"/>
      <c r="L944" s="824"/>
      <c r="M944" s="824"/>
      <c r="N944" s="824"/>
      <c r="O944" s="824"/>
      <c r="P944" s="824"/>
      <c r="Q944" s="824"/>
      <c r="R944" s="824"/>
      <c r="S944" s="824"/>
      <c r="T944" s="824"/>
      <c r="U944" s="824"/>
      <c r="V944" s="824"/>
      <c r="W944" s="824"/>
    </row>
    <row r="945" spans="2:23" hidden="1">
      <c r="B945" s="515"/>
      <c r="C945" s="516"/>
      <c r="D945" s="515"/>
      <c r="E945" s="824"/>
      <c r="F945" s="824"/>
      <c r="G945" s="824"/>
      <c r="H945" s="824"/>
      <c r="I945" s="824"/>
      <c r="J945" s="824"/>
      <c r="K945" s="824"/>
      <c r="L945" s="824"/>
      <c r="M945" s="824"/>
      <c r="N945" s="824"/>
      <c r="O945" s="824"/>
      <c r="P945" s="824"/>
      <c r="Q945" s="824"/>
      <c r="R945" s="824"/>
      <c r="S945" s="824"/>
      <c r="T945" s="824"/>
      <c r="U945" s="824"/>
      <c r="V945" s="824"/>
      <c r="W945" s="824"/>
    </row>
    <row r="946" spans="2:23" hidden="1">
      <c r="B946" s="515"/>
      <c r="C946" s="516"/>
      <c r="D946" s="515"/>
      <c r="E946" s="824"/>
      <c r="F946" s="824"/>
      <c r="G946" s="824"/>
      <c r="H946" s="824"/>
      <c r="I946" s="824"/>
      <c r="J946" s="824"/>
      <c r="K946" s="824"/>
      <c r="L946" s="824"/>
      <c r="M946" s="824"/>
      <c r="N946" s="824"/>
      <c r="O946" s="824"/>
      <c r="P946" s="824"/>
      <c r="Q946" s="824"/>
      <c r="R946" s="824"/>
      <c r="S946" s="824"/>
      <c r="T946" s="824"/>
      <c r="U946" s="824"/>
      <c r="V946" s="824"/>
      <c r="W946" s="824"/>
    </row>
    <row r="947" spans="2:23" hidden="1">
      <c r="B947" s="515"/>
      <c r="C947" s="516"/>
      <c r="D947" s="515"/>
      <c r="E947" s="824"/>
      <c r="F947" s="824"/>
      <c r="G947" s="824"/>
      <c r="H947" s="824"/>
      <c r="I947" s="824"/>
      <c r="J947" s="824"/>
      <c r="K947" s="824"/>
      <c r="L947" s="824"/>
      <c r="M947" s="824"/>
      <c r="N947" s="824"/>
      <c r="O947" s="824"/>
      <c r="P947" s="824"/>
      <c r="Q947" s="824"/>
      <c r="R947" s="824"/>
      <c r="S947" s="824"/>
      <c r="T947" s="824"/>
      <c r="U947" s="824"/>
      <c r="V947" s="824"/>
      <c r="W947" s="824"/>
    </row>
    <row r="948" spans="2:23" hidden="1">
      <c r="B948" s="515"/>
      <c r="C948" s="516"/>
      <c r="D948" s="515"/>
      <c r="E948" s="824"/>
      <c r="F948" s="824"/>
      <c r="G948" s="824"/>
      <c r="H948" s="824"/>
      <c r="I948" s="824"/>
      <c r="J948" s="824"/>
      <c r="K948" s="824"/>
      <c r="L948" s="824"/>
      <c r="M948" s="824"/>
      <c r="N948" s="824"/>
      <c r="O948" s="824"/>
      <c r="P948" s="824"/>
      <c r="Q948" s="824"/>
      <c r="R948" s="824"/>
      <c r="S948" s="824"/>
      <c r="T948" s="824"/>
      <c r="U948" s="824"/>
      <c r="V948" s="824"/>
      <c r="W948" s="824"/>
    </row>
    <row r="949" spans="2:23" hidden="1">
      <c r="B949" s="515"/>
      <c r="C949" s="516"/>
      <c r="D949" s="515"/>
      <c r="E949" s="824"/>
      <c r="F949" s="824"/>
      <c r="G949" s="824"/>
      <c r="H949" s="824"/>
      <c r="I949" s="824"/>
      <c r="J949" s="824"/>
      <c r="K949" s="824"/>
      <c r="L949" s="824"/>
      <c r="M949" s="824"/>
      <c r="N949" s="824"/>
      <c r="O949" s="824"/>
      <c r="P949" s="824"/>
      <c r="Q949" s="824"/>
      <c r="R949" s="824"/>
      <c r="S949" s="824"/>
      <c r="T949" s="824"/>
      <c r="U949" s="824"/>
      <c r="V949" s="824"/>
      <c r="W949" s="824"/>
    </row>
    <row r="950" spans="2:23" hidden="1">
      <c r="B950" s="515"/>
      <c r="C950" s="516"/>
      <c r="D950" s="515"/>
      <c r="E950" s="824"/>
      <c r="F950" s="824"/>
      <c r="G950" s="824"/>
      <c r="H950" s="824"/>
      <c r="I950" s="824"/>
      <c r="J950" s="824"/>
      <c r="K950" s="824"/>
      <c r="L950" s="824"/>
      <c r="M950" s="824"/>
      <c r="N950" s="824"/>
      <c r="O950" s="824"/>
      <c r="P950" s="824"/>
      <c r="Q950" s="824"/>
      <c r="R950" s="824"/>
      <c r="S950" s="824"/>
      <c r="T950" s="824"/>
      <c r="U950" s="824"/>
      <c r="V950" s="824"/>
      <c r="W950" s="824"/>
    </row>
    <row r="951" spans="2:23" hidden="1">
      <c r="B951" s="515"/>
      <c r="C951" s="516"/>
      <c r="D951" s="515"/>
      <c r="E951" s="824"/>
      <c r="F951" s="824"/>
      <c r="G951" s="824"/>
      <c r="H951" s="824"/>
      <c r="I951" s="824"/>
      <c r="J951" s="824"/>
      <c r="K951" s="824"/>
      <c r="L951" s="824"/>
      <c r="M951" s="824"/>
      <c r="N951" s="824"/>
      <c r="O951" s="824"/>
      <c r="P951" s="824"/>
      <c r="Q951" s="824"/>
      <c r="R951" s="824"/>
      <c r="S951" s="824"/>
      <c r="T951" s="824"/>
      <c r="U951" s="824"/>
      <c r="V951" s="824"/>
      <c r="W951" s="824"/>
    </row>
    <row r="952" spans="2:23" hidden="1">
      <c r="B952" s="515"/>
      <c r="C952" s="516"/>
      <c r="D952" s="515"/>
      <c r="E952" s="824"/>
      <c r="F952" s="824"/>
      <c r="G952" s="824"/>
      <c r="H952" s="824"/>
      <c r="I952" s="824"/>
      <c r="J952" s="824"/>
      <c r="K952" s="824"/>
      <c r="L952" s="824"/>
      <c r="M952" s="824"/>
      <c r="N952" s="824"/>
      <c r="O952" s="824"/>
      <c r="P952" s="824"/>
      <c r="Q952" s="824"/>
      <c r="R952" s="824"/>
      <c r="S952" s="824"/>
      <c r="T952" s="824"/>
      <c r="U952" s="824"/>
      <c r="V952" s="824"/>
      <c r="W952" s="824"/>
    </row>
    <row r="953" spans="2:23" hidden="1">
      <c r="B953" s="515"/>
      <c r="C953" s="516"/>
      <c r="D953" s="515"/>
      <c r="E953" s="824"/>
      <c r="F953" s="824"/>
      <c r="G953" s="824"/>
      <c r="H953" s="824"/>
      <c r="I953" s="824"/>
      <c r="J953" s="824"/>
      <c r="K953" s="824"/>
      <c r="L953" s="824"/>
      <c r="M953" s="824"/>
      <c r="N953" s="824"/>
      <c r="O953" s="824"/>
      <c r="P953" s="824"/>
      <c r="Q953" s="824"/>
      <c r="R953" s="824"/>
      <c r="S953" s="824"/>
      <c r="T953" s="824"/>
      <c r="U953" s="824"/>
      <c r="V953" s="824"/>
      <c r="W953" s="824"/>
    </row>
    <row r="954" spans="2:23" hidden="1">
      <c r="B954" s="515"/>
      <c r="C954" s="516"/>
      <c r="D954" s="515"/>
      <c r="E954" s="824"/>
      <c r="F954" s="824"/>
      <c r="G954" s="824"/>
      <c r="H954" s="824"/>
      <c r="I954" s="824"/>
      <c r="J954" s="824"/>
      <c r="K954" s="824"/>
      <c r="L954" s="824"/>
      <c r="M954" s="824"/>
      <c r="N954" s="824"/>
      <c r="O954" s="824"/>
      <c r="P954" s="824"/>
      <c r="Q954" s="824"/>
      <c r="R954" s="824"/>
      <c r="S954" s="824"/>
      <c r="T954" s="824"/>
      <c r="U954" s="824"/>
      <c r="V954" s="824"/>
      <c r="W954" s="824"/>
    </row>
    <row r="955" spans="2:23" hidden="1">
      <c r="B955" s="515"/>
      <c r="C955" s="516"/>
      <c r="D955" s="515"/>
      <c r="E955" s="824"/>
      <c r="F955" s="824"/>
      <c r="G955" s="824"/>
      <c r="H955" s="824"/>
      <c r="I955" s="824"/>
      <c r="J955" s="824"/>
      <c r="K955" s="824"/>
      <c r="L955" s="824"/>
      <c r="M955" s="824"/>
      <c r="N955" s="824"/>
      <c r="O955" s="824"/>
      <c r="P955" s="824"/>
      <c r="Q955" s="824"/>
      <c r="R955" s="824"/>
      <c r="S955" s="824"/>
      <c r="T955" s="824"/>
      <c r="U955" s="824"/>
      <c r="V955" s="824"/>
      <c r="W955" s="824"/>
    </row>
    <row r="956" spans="2:23" hidden="1">
      <c r="B956" s="515"/>
      <c r="C956" s="516"/>
      <c r="D956" s="515"/>
      <c r="E956" s="824"/>
      <c r="F956" s="824"/>
      <c r="G956" s="824"/>
      <c r="H956" s="824"/>
      <c r="I956" s="824"/>
      <c r="J956" s="824"/>
      <c r="K956" s="824"/>
      <c r="L956" s="824"/>
      <c r="M956" s="824"/>
      <c r="N956" s="824"/>
      <c r="O956" s="824"/>
      <c r="P956" s="824"/>
      <c r="Q956" s="824"/>
      <c r="R956" s="824"/>
      <c r="S956" s="824"/>
      <c r="T956" s="824"/>
      <c r="U956" s="824"/>
      <c r="V956" s="824"/>
      <c r="W956" s="824"/>
    </row>
    <row r="957" spans="2:23" hidden="1">
      <c r="B957" s="515"/>
      <c r="C957" s="516"/>
      <c r="D957" s="515"/>
      <c r="E957" s="824"/>
      <c r="F957" s="824"/>
      <c r="G957" s="824"/>
      <c r="H957" s="824"/>
      <c r="I957" s="824"/>
      <c r="J957" s="824"/>
      <c r="K957" s="824"/>
      <c r="L957" s="824"/>
      <c r="M957" s="824"/>
      <c r="N957" s="824"/>
      <c r="O957" s="824"/>
      <c r="P957" s="824"/>
      <c r="Q957" s="824"/>
      <c r="R957" s="824"/>
      <c r="S957" s="824"/>
      <c r="T957" s="824"/>
      <c r="U957" s="824"/>
      <c r="V957" s="824"/>
      <c r="W957" s="824"/>
    </row>
    <row r="958" spans="2:23" hidden="1">
      <c r="B958" s="515"/>
      <c r="C958" s="516"/>
      <c r="D958" s="515"/>
      <c r="E958" s="824"/>
      <c r="F958" s="824"/>
      <c r="G958" s="824"/>
      <c r="H958" s="824"/>
      <c r="I958" s="824"/>
      <c r="J958" s="824"/>
      <c r="K958" s="824"/>
      <c r="L958" s="824"/>
      <c r="M958" s="824"/>
      <c r="N958" s="824"/>
      <c r="O958" s="824"/>
      <c r="P958" s="824"/>
      <c r="Q958" s="824"/>
      <c r="R958" s="824"/>
      <c r="S958" s="824"/>
      <c r="T958" s="824"/>
      <c r="U958" s="824"/>
      <c r="V958" s="824"/>
      <c r="W958" s="824"/>
    </row>
    <row r="959" spans="2:23" hidden="1">
      <c r="B959" s="515"/>
      <c r="C959" s="516"/>
      <c r="D959" s="515"/>
      <c r="E959" s="824"/>
      <c r="F959" s="824"/>
      <c r="G959" s="824"/>
      <c r="H959" s="824"/>
      <c r="I959" s="824"/>
      <c r="J959" s="824"/>
      <c r="K959" s="824"/>
      <c r="L959" s="824"/>
      <c r="M959" s="824"/>
      <c r="N959" s="824"/>
      <c r="O959" s="824"/>
      <c r="P959" s="824"/>
      <c r="Q959" s="824"/>
      <c r="R959" s="824"/>
      <c r="S959" s="824"/>
      <c r="T959" s="824"/>
      <c r="U959" s="824"/>
      <c r="V959" s="824"/>
      <c r="W959" s="824"/>
    </row>
    <row r="960" spans="2:23" hidden="1">
      <c r="B960" s="515"/>
      <c r="C960" s="516"/>
      <c r="D960" s="515"/>
      <c r="E960" s="824"/>
      <c r="F960" s="824"/>
      <c r="G960" s="824"/>
      <c r="H960" s="824"/>
      <c r="I960" s="824"/>
      <c r="J960" s="824"/>
      <c r="K960" s="824"/>
      <c r="L960" s="824"/>
      <c r="M960" s="824"/>
      <c r="N960" s="824"/>
      <c r="O960" s="824"/>
      <c r="P960" s="824"/>
      <c r="Q960" s="824"/>
      <c r="R960" s="824"/>
      <c r="S960" s="824"/>
      <c r="T960" s="824"/>
      <c r="U960" s="824"/>
      <c r="V960" s="824"/>
      <c r="W960" s="824"/>
    </row>
    <row r="961" spans="2:23" hidden="1">
      <c r="B961" s="515"/>
      <c r="C961" s="516"/>
      <c r="D961" s="515"/>
      <c r="E961" s="824"/>
      <c r="F961" s="824"/>
      <c r="G961" s="824"/>
      <c r="H961" s="824"/>
      <c r="I961" s="824"/>
      <c r="J961" s="824"/>
      <c r="K961" s="824"/>
      <c r="L961" s="824"/>
      <c r="M961" s="824"/>
      <c r="N961" s="824"/>
      <c r="O961" s="824"/>
      <c r="P961" s="824"/>
      <c r="Q961" s="824"/>
      <c r="R961" s="824"/>
      <c r="S961" s="824"/>
      <c r="T961" s="824"/>
      <c r="U961" s="824"/>
      <c r="V961" s="824"/>
      <c r="W961" s="824"/>
    </row>
    <row r="962" spans="2:23" hidden="1">
      <c r="B962" s="515"/>
      <c r="C962" s="516"/>
      <c r="D962" s="515"/>
      <c r="E962" s="824"/>
      <c r="F962" s="824"/>
      <c r="G962" s="824"/>
      <c r="H962" s="824"/>
      <c r="I962" s="824"/>
      <c r="J962" s="824"/>
      <c r="K962" s="824"/>
      <c r="L962" s="824"/>
      <c r="M962" s="824"/>
      <c r="N962" s="824"/>
      <c r="O962" s="824"/>
      <c r="P962" s="824"/>
      <c r="Q962" s="824"/>
      <c r="R962" s="824"/>
      <c r="S962" s="824"/>
      <c r="T962" s="824"/>
      <c r="U962" s="824"/>
      <c r="V962" s="824"/>
      <c r="W962" s="824"/>
    </row>
    <row r="963" spans="2:23" hidden="1">
      <c r="B963" s="515"/>
      <c r="C963" s="516"/>
      <c r="D963" s="515"/>
      <c r="E963" s="824"/>
      <c r="F963" s="824"/>
      <c r="G963" s="824"/>
      <c r="H963" s="824"/>
      <c r="I963" s="824"/>
      <c r="J963" s="824"/>
      <c r="K963" s="824"/>
      <c r="L963" s="824"/>
      <c r="M963" s="824"/>
      <c r="N963" s="824"/>
      <c r="O963" s="824"/>
      <c r="P963" s="824"/>
      <c r="Q963" s="824"/>
      <c r="R963" s="824"/>
      <c r="S963" s="824"/>
      <c r="T963" s="824"/>
      <c r="U963" s="824"/>
      <c r="V963" s="824"/>
      <c r="W963" s="824"/>
    </row>
    <row r="964" spans="2:23" hidden="1">
      <c r="B964" s="515"/>
      <c r="C964" s="516"/>
      <c r="D964" s="515"/>
      <c r="E964" s="824"/>
      <c r="F964" s="824"/>
      <c r="G964" s="824"/>
      <c r="H964" s="824"/>
      <c r="I964" s="824"/>
      <c r="J964" s="824"/>
      <c r="K964" s="824"/>
      <c r="L964" s="824"/>
      <c r="M964" s="824"/>
      <c r="N964" s="824"/>
      <c r="O964" s="824"/>
      <c r="P964" s="824"/>
      <c r="Q964" s="824"/>
      <c r="R964" s="824"/>
      <c r="S964" s="824"/>
      <c r="T964" s="824"/>
      <c r="U964" s="824"/>
      <c r="V964" s="824"/>
      <c r="W964" s="824"/>
    </row>
    <row r="965" spans="2:23" hidden="1">
      <c r="B965" s="515"/>
      <c r="C965" s="516"/>
      <c r="D965" s="515"/>
      <c r="E965" s="824"/>
      <c r="F965" s="824"/>
      <c r="G965" s="824"/>
      <c r="H965" s="824"/>
      <c r="I965" s="824"/>
      <c r="J965" s="824"/>
      <c r="K965" s="824"/>
      <c r="L965" s="824"/>
      <c r="M965" s="824"/>
      <c r="N965" s="824"/>
      <c r="O965" s="824"/>
      <c r="P965" s="824"/>
      <c r="Q965" s="824"/>
      <c r="R965" s="824"/>
      <c r="S965" s="824"/>
      <c r="T965" s="824"/>
      <c r="U965" s="824"/>
      <c r="V965" s="824"/>
      <c r="W965" s="824"/>
    </row>
    <row r="966" spans="2:23" hidden="1">
      <c r="B966" s="515"/>
      <c r="C966" s="516"/>
      <c r="D966" s="515"/>
      <c r="E966" s="824"/>
      <c r="F966" s="824"/>
      <c r="G966" s="824"/>
      <c r="H966" s="824"/>
      <c r="I966" s="824"/>
      <c r="J966" s="824"/>
      <c r="K966" s="824"/>
      <c r="L966" s="824"/>
      <c r="M966" s="824"/>
      <c r="N966" s="824"/>
      <c r="O966" s="824"/>
      <c r="P966" s="824"/>
      <c r="Q966" s="824"/>
      <c r="R966" s="824"/>
      <c r="S966" s="824"/>
      <c r="T966" s="824"/>
      <c r="U966" s="824"/>
      <c r="V966" s="824"/>
      <c r="W966" s="824"/>
    </row>
    <row r="967" spans="2:23" hidden="1">
      <c r="B967" s="515"/>
      <c r="C967" s="516"/>
      <c r="D967" s="515"/>
      <c r="E967" s="824"/>
      <c r="F967" s="824"/>
      <c r="G967" s="824"/>
      <c r="H967" s="824"/>
      <c r="I967" s="824"/>
      <c r="J967" s="824"/>
      <c r="K967" s="824"/>
      <c r="L967" s="824"/>
      <c r="M967" s="824"/>
      <c r="N967" s="824"/>
      <c r="O967" s="824"/>
      <c r="P967" s="824"/>
      <c r="Q967" s="824"/>
      <c r="R967" s="824"/>
      <c r="S967" s="824"/>
      <c r="T967" s="824"/>
      <c r="U967" s="824"/>
      <c r="V967" s="824"/>
      <c r="W967" s="824"/>
    </row>
    <row r="968" spans="2:23" hidden="1">
      <c r="B968" s="515"/>
      <c r="C968" s="516"/>
      <c r="D968" s="515"/>
      <c r="E968" s="824"/>
      <c r="F968" s="824"/>
      <c r="G968" s="824"/>
      <c r="H968" s="824"/>
      <c r="I968" s="824"/>
      <c r="J968" s="824"/>
      <c r="K968" s="824"/>
      <c r="L968" s="824"/>
      <c r="M968" s="824"/>
      <c r="N968" s="824"/>
      <c r="O968" s="824"/>
      <c r="P968" s="824"/>
      <c r="Q968" s="824"/>
      <c r="R968" s="824"/>
      <c r="S968" s="824"/>
      <c r="T968" s="824"/>
      <c r="U968" s="824"/>
      <c r="V968" s="824"/>
      <c r="W968" s="824"/>
    </row>
    <row r="969" spans="2:23" hidden="1">
      <c r="B969" s="515"/>
      <c r="C969" s="516"/>
      <c r="D969" s="515"/>
      <c r="E969" s="824"/>
      <c r="F969" s="824"/>
      <c r="G969" s="824"/>
      <c r="H969" s="824"/>
      <c r="I969" s="824"/>
      <c r="J969" s="824"/>
      <c r="K969" s="824"/>
      <c r="L969" s="824"/>
      <c r="M969" s="824"/>
      <c r="N969" s="824"/>
      <c r="O969" s="824"/>
      <c r="P969" s="824"/>
      <c r="Q969" s="824"/>
      <c r="R969" s="824"/>
      <c r="S969" s="824"/>
      <c r="T969" s="824"/>
      <c r="U969" s="824"/>
      <c r="V969" s="824"/>
      <c r="W969" s="824"/>
    </row>
    <row r="970" spans="2:23" hidden="1">
      <c r="B970" s="515"/>
      <c r="C970" s="516"/>
      <c r="D970" s="515"/>
      <c r="E970" s="824"/>
      <c r="F970" s="824"/>
      <c r="G970" s="824"/>
      <c r="H970" s="824"/>
      <c r="I970" s="824"/>
      <c r="J970" s="824"/>
      <c r="K970" s="824"/>
      <c r="L970" s="824"/>
      <c r="M970" s="824"/>
      <c r="N970" s="824"/>
      <c r="O970" s="824"/>
      <c r="P970" s="824"/>
      <c r="Q970" s="824"/>
      <c r="R970" s="824"/>
      <c r="S970" s="824"/>
      <c r="T970" s="824"/>
      <c r="U970" s="824"/>
      <c r="V970" s="824"/>
      <c r="W970" s="824"/>
    </row>
    <row r="971" spans="2:23" hidden="1">
      <c r="B971" s="515"/>
      <c r="C971" s="516"/>
      <c r="D971" s="515"/>
      <c r="E971" s="824"/>
      <c r="F971" s="824"/>
      <c r="G971" s="824"/>
      <c r="H971" s="824"/>
      <c r="I971" s="824"/>
      <c r="J971" s="824"/>
      <c r="K971" s="824"/>
      <c r="L971" s="824"/>
      <c r="M971" s="824"/>
      <c r="N971" s="824"/>
      <c r="O971" s="824"/>
      <c r="P971" s="824"/>
      <c r="Q971" s="824"/>
      <c r="R971" s="824"/>
      <c r="S971" s="824"/>
      <c r="T971" s="824"/>
      <c r="U971" s="824"/>
      <c r="V971" s="824"/>
      <c r="W971" s="824"/>
    </row>
    <row r="972" spans="2:23" hidden="1">
      <c r="B972" s="515"/>
      <c r="C972" s="516"/>
      <c r="D972" s="515"/>
      <c r="E972" s="824"/>
      <c r="F972" s="824"/>
      <c r="G972" s="824"/>
      <c r="H972" s="824"/>
      <c r="I972" s="824"/>
      <c r="J972" s="824"/>
      <c r="K972" s="824"/>
      <c r="L972" s="824"/>
      <c r="M972" s="824"/>
      <c r="N972" s="824"/>
      <c r="O972" s="824"/>
      <c r="P972" s="824"/>
      <c r="Q972" s="824"/>
      <c r="R972" s="824"/>
      <c r="S972" s="824"/>
      <c r="T972" s="824"/>
      <c r="U972" s="824"/>
      <c r="V972" s="824"/>
      <c r="W972" s="824"/>
    </row>
    <row r="973" spans="2:23" hidden="1">
      <c r="B973" s="515"/>
      <c r="C973" s="516"/>
      <c r="D973" s="515"/>
      <c r="E973" s="824"/>
      <c r="F973" s="824"/>
      <c r="G973" s="824"/>
      <c r="H973" s="824"/>
      <c r="I973" s="824"/>
      <c r="J973" s="824"/>
      <c r="K973" s="824"/>
      <c r="L973" s="824"/>
      <c r="M973" s="824"/>
      <c r="N973" s="824"/>
      <c r="O973" s="824"/>
      <c r="P973" s="824"/>
      <c r="Q973" s="824"/>
      <c r="R973" s="824"/>
      <c r="S973" s="824"/>
      <c r="T973" s="824"/>
      <c r="U973" s="824"/>
      <c r="V973" s="824"/>
      <c r="W973" s="824"/>
    </row>
    <row r="974" spans="2:23" hidden="1">
      <c r="B974" s="515"/>
      <c r="C974" s="516"/>
      <c r="D974" s="515"/>
      <c r="E974" s="824"/>
      <c r="F974" s="824"/>
      <c r="G974" s="824"/>
      <c r="H974" s="824"/>
      <c r="I974" s="824"/>
      <c r="J974" s="824"/>
      <c r="K974" s="824"/>
      <c r="L974" s="824"/>
      <c r="M974" s="824"/>
      <c r="N974" s="824"/>
      <c r="O974" s="824"/>
      <c r="P974" s="824"/>
      <c r="Q974" s="824"/>
      <c r="R974" s="824"/>
      <c r="S974" s="824"/>
      <c r="T974" s="824"/>
      <c r="U974" s="824"/>
      <c r="V974" s="824"/>
      <c r="W974" s="824"/>
    </row>
    <row r="975" spans="2:23" hidden="1">
      <c r="B975" s="515"/>
      <c r="C975" s="516"/>
      <c r="D975" s="515"/>
      <c r="E975" s="824"/>
      <c r="F975" s="824"/>
      <c r="G975" s="824"/>
      <c r="H975" s="824"/>
      <c r="I975" s="824"/>
      <c r="J975" s="824"/>
      <c r="K975" s="824"/>
      <c r="L975" s="824"/>
      <c r="M975" s="824"/>
      <c r="N975" s="824"/>
      <c r="O975" s="824"/>
      <c r="P975" s="824"/>
      <c r="Q975" s="824"/>
      <c r="R975" s="824"/>
      <c r="S975" s="824"/>
      <c r="T975" s="824"/>
      <c r="U975" s="824"/>
      <c r="V975" s="824"/>
      <c r="W975" s="824"/>
    </row>
    <row r="976" spans="2:23" hidden="1">
      <c r="B976" s="515"/>
      <c r="C976" s="516"/>
      <c r="D976" s="515"/>
      <c r="E976" s="824"/>
      <c r="F976" s="824"/>
      <c r="G976" s="824"/>
      <c r="H976" s="824"/>
      <c r="I976" s="824"/>
      <c r="J976" s="824"/>
      <c r="K976" s="824"/>
      <c r="L976" s="824"/>
      <c r="M976" s="824"/>
      <c r="N976" s="824"/>
      <c r="O976" s="824"/>
      <c r="P976" s="824"/>
      <c r="Q976" s="824"/>
      <c r="R976" s="824"/>
      <c r="S976" s="824"/>
      <c r="T976" s="824"/>
      <c r="U976" s="824"/>
      <c r="V976" s="824"/>
      <c r="W976" s="824"/>
    </row>
    <row r="977" spans="2:23" hidden="1">
      <c r="B977" s="515"/>
      <c r="C977" s="516"/>
      <c r="D977" s="515"/>
      <c r="E977" s="824"/>
      <c r="F977" s="824"/>
      <c r="G977" s="824"/>
      <c r="H977" s="824"/>
      <c r="I977" s="824"/>
      <c r="J977" s="824"/>
      <c r="K977" s="824"/>
      <c r="L977" s="824"/>
      <c r="M977" s="824"/>
      <c r="N977" s="824"/>
      <c r="O977" s="824"/>
      <c r="P977" s="824"/>
      <c r="Q977" s="824"/>
      <c r="R977" s="824"/>
      <c r="S977" s="824"/>
      <c r="T977" s="824"/>
      <c r="U977" s="824"/>
      <c r="V977" s="824"/>
      <c r="W977" s="824"/>
    </row>
    <row r="978" spans="2:23" hidden="1">
      <c r="B978" s="515"/>
      <c r="C978" s="516"/>
      <c r="D978" s="515"/>
      <c r="E978" s="824"/>
      <c r="F978" s="824"/>
      <c r="G978" s="824"/>
      <c r="H978" s="824"/>
      <c r="I978" s="824"/>
      <c r="J978" s="824"/>
      <c r="K978" s="824"/>
      <c r="L978" s="824"/>
      <c r="M978" s="824"/>
      <c r="N978" s="824"/>
      <c r="O978" s="824"/>
      <c r="P978" s="824"/>
      <c r="Q978" s="824"/>
      <c r="R978" s="824"/>
      <c r="S978" s="824"/>
      <c r="T978" s="824"/>
      <c r="U978" s="824"/>
      <c r="V978" s="824"/>
      <c r="W978" s="824"/>
    </row>
    <row r="979" spans="2:23" hidden="1">
      <c r="B979" s="515"/>
      <c r="C979" s="516"/>
      <c r="D979" s="515"/>
      <c r="E979" s="824"/>
      <c r="F979" s="824"/>
      <c r="G979" s="824"/>
      <c r="H979" s="824"/>
      <c r="I979" s="824"/>
      <c r="J979" s="824"/>
      <c r="K979" s="824"/>
      <c r="L979" s="824"/>
      <c r="M979" s="824"/>
      <c r="N979" s="824"/>
      <c r="O979" s="824"/>
      <c r="P979" s="824"/>
      <c r="Q979" s="824"/>
      <c r="R979" s="824"/>
      <c r="S979" s="824"/>
      <c r="T979" s="824"/>
      <c r="U979" s="824"/>
      <c r="V979" s="824"/>
      <c r="W979" s="824"/>
    </row>
    <row r="980" spans="2:23" hidden="1">
      <c r="B980" s="515"/>
      <c r="C980" s="516"/>
      <c r="D980" s="515"/>
      <c r="E980" s="824"/>
      <c r="F980" s="824"/>
      <c r="G980" s="824"/>
      <c r="H980" s="824"/>
      <c r="I980" s="824"/>
      <c r="J980" s="824"/>
      <c r="K980" s="824"/>
      <c r="L980" s="824"/>
      <c r="M980" s="824"/>
      <c r="N980" s="824"/>
      <c r="O980" s="824"/>
      <c r="P980" s="824"/>
      <c r="Q980" s="824"/>
      <c r="R980" s="824"/>
      <c r="S980" s="824"/>
      <c r="T980" s="824"/>
      <c r="U980" s="824"/>
      <c r="V980" s="824"/>
      <c r="W980" s="824"/>
    </row>
    <row r="981" spans="2:23" hidden="1">
      <c r="B981" s="515"/>
      <c r="C981" s="516"/>
      <c r="D981" s="515"/>
      <c r="E981" s="824"/>
      <c r="F981" s="824"/>
      <c r="G981" s="824"/>
      <c r="H981" s="824"/>
      <c r="I981" s="824"/>
      <c r="J981" s="824"/>
      <c r="K981" s="824"/>
      <c r="L981" s="824"/>
      <c r="M981" s="824"/>
      <c r="N981" s="824"/>
      <c r="O981" s="824"/>
      <c r="P981" s="824"/>
      <c r="Q981" s="824"/>
      <c r="R981" s="824"/>
      <c r="S981" s="824"/>
      <c r="T981" s="824"/>
      <c r="U981" s="824"/>
      <c r="V981" s="824"/>
      <c r="W981" s="824"/>
    </row>
    <row r="982" spans="2:23" hidden="1">
      <c r="B982" s="515"/>
      <c r="C982" s="516"/>
      <c r="D982" s="515"/>
      <c r="E982" s="824"/>
      <c r="F982" s="824"/>
      <c r="G982" s="824"/>
      <c r="H982" s="824"/>
      <c r="I982" s="824"/>
      <c r="J982" s="824"/>
      <c r="K982" s="824"/>
      <c r="L982" s="824"/>
      <c r="M982" s="824"/>
      <c r="N982" s="824"/>
      <c r="O982" s="824"/>
      <c r="P982" s="824"/>
      <c r="Q982" s="824"/>
      <c r="R982" s="824"/>
      <c r="S982" s="824"/>
      <c r="T982" s="824"/>
      <c r="U982" s="824"/>
      <c r="V982" s="824"/>
      <c r="W982" s="824"/>
    </row>
    <row r="983" spans="2:23" hidden="1">
      <c r="B983" s="515"/>
      <c r="C983" s="516"/>
      <c r="D983" s="515"/>
      <c r="E983" s="824"/>
      <c r="F983" s="824"/>
      <c r="G983" s="824"/>
      <c r="H983" s="824"/>
      <c r="I983" s="824"/>
      <c r="J983" s="824"/>
      <c r="K983" s="824"/>
      <c r="L983" s="824"/>
      <c r="M983" s="824"/>
      <c r="N983" s="824"/>
      <c r="O983" s="824"/>
      <c r="P983" s="824"/>
      <c r="Q983" s="824"/>
      <c r="R983" s="824"/>
      <c r="S983" s="824"/>
      <c r="T983" s="824"/>
      <c r="U983" s="824"/>
      <c r="V983" s="824"/>
      <c r="W983" s="824"/>
    </row>
    <row r="984" spans="2:23" hidden="1">
      <c r="B984" s="515"/>
      <c r="C984" s="516"/>
      <c r="D984" s="515"/>
      <c r="E984" s="824"/>
      <c r="F984" s="824"/>
      <c r="G984" s="824"/>
      <c r="H984" s="824"/>
      <c r="I984" s="824"/>
      <c r="J984" s="824"/>
      <c r="K984" s="824"/>
      <c r="L984" s="824"/>
      <c r="M984" s="824"/>
      <c r="N984" s="824"/>
      <c r="O984" s="824"/>
      <c r="P984" s="824"/>
      <c r="Q984" s="824"/>
      <c r="R984" s="824"/>
      <c r="S984" s="824"/>
      <c r="T984" s="824"/>
      <c r="U984" s="824"/>
      <c r="V984" s="824"/>
      <c r="W984" s="824"/>
    </row>
    <row r="985" spans="2:23" hidden="1">
      <c r="B985" s="515"/>
      <c r="C985" s="516"/>
      <c r="D985" s="515"/>
      <c r="E985" s="824"/>
      <c r="F985" s="824"/>
      <c r="G985" s="824"/>
      <c r="H985" s="824"/>
      <c r="I985" s="824"/>
      <c r="J985" s="824"/>
      <c r="K985" s="824"/>
      <c r="L985" s="824"/>
      <c r="M985" s="824"/>
      <c r="N985" s="824"/>
      <c r="O985" s="824"/>
      <c r="P985" s="824"/>
      <c r="Q985" s="824"/>
      <c r="R985" s="824"/>
      <c r="S985" s="824"/>
      <c r="T985" s="824"/>
      <c r="U985" s="824"/>
      <c r="V985" s="824"/>
      <c r="W985" s="824"/>
    </row>
    <row r="986" spans="2:23" hidden="1">
      <c r="B986" s="515"/>
      <c r="C986" s="516"/>
      <c r="D986" s="515"/>
      <c r="E986" s="824"/>
      <c r="F986" s="824"/>
      <c r="G986" s="824"/>
      <c r="H986" s="824"/>
      <c r="I986" s="824"/>
      <c r="J986" s="824"/>
      <c r="K986" s="824"/>
      <c r="L986" s="824"/>
      <c r="M986" s="824"/>
      <c r="N986" s="824"/>
      <c r="O986" s="824"/>
      <c r="P986" s="824"/>
      <c r="Q986" s="824"/>
      <c r="R986" s="824"/>
      <c r="S986" s="824"/>
      <c r="T986" s="824"/>
      <c r="U986" s="824"/>
      <c r="V986" s="824"/>
      <c r="W986" s="824"/>
    </row>
    <row r="987" spans="2:23" hidden="1">
      <c r="B987" s="515"/>
      <c r="C987" s="516"/>
      <c r="D987" s="515"/>
      <c r="E987" s="824"/>
      <c r="F987" s="824"/>
      <c r="G987" s="824"/>
      <c r="H987" s="824"/>
      <c r="I987" s="824"/>
      <c r="J987" s="824"/>
      <c r="K987" s="824"/>
      <c r="L987" s="824"/>
      <c r="M987" s="824"/>
      <c r="N987" s="824"/>
      <c r="O987" s="824"/>
      <c r="P987" s="824"/>
      <c r="Q987" s="824"/>
      <c r="R987" s="824"/>
      <c r="S987" s="824"/>
      <c r="T987" s="824"/>
      <c r="U987" s="824"/>
      <c r="V987" s="824"/>
      <c r="W987" s="824"/>
    </row>
    <row r="988" spans="2:23" hidden="1">
      <c r="B988" s="515"/>
      <c r="C988" s="516"/>
      <c r="D988" s="515"/>
      <c r="E988" s="824"/>
      <c r="F988" s="824"/>
      <c r="G988" s="824"/>
      <c r="H988" s="824"/>
      <c r="I988" s="824"/>
      <c r="J988" s="824"/>
      <c r="K988" s="824"/>
      <c r="L988" s="824"/>
      <c r="M988" s="824"/>
      <c r="N988" s="824"/>
      <c r="O988" s="824"/>
      <c r="P988" s="824"/>
      <c r="Q988" s="824"/>
      <c r="R988" s="824"/>
      <c r="S988" s="824"/>
      <c r="T988" s="824"/>
      <c r="U988" s="824"/>
      <c r="V988" s="824"/>
      <c r="W988" s="824"/>
    </row>
    <row r="989" spans="2:23" hidden="1">
      <c r="B989" s="515"/>
      <c r="C989" s="516"/>
      <c r="D989" s="515"/>
      <c r="E989" s="824"/>
      <c r="F989" s="824"/>
      <c r="G989" s="824"/>
      <c r="H989" s="824"/>
      <c r="I989" s="824"/>
      <c r="J989" s="824"/>
      <c r="K989" s="824"/>
      <c r="L989" s="824"/>
      <c r="M989" s="824"/>
      <c r="N989" s="824"/>
      <c r="O989" s="824"/>
      <c r="P989" s="824"/>
      <c r="Q989" s="824"/>
      <c r="R989" s="824"/>
      <c r="S989" s="824"/>
      <c r="T989" s="824"/>
      <c r="U989" s="824"/>
      <c r="V989" s="824"/>
      <c r="W989" s="824"/>
    </row>
    <row r="990" spans="2:23" hidden="1">
      <c r="B990" s="515"/>
      <c r="C990" s="516"/>
      <c r="D990" s="515"/>
      <c r="E990" s="824"/>
      <c r="F990" s="824"/>
      <c r="G990" s="824"/>
      <c r="H990" s="824"/>
      <c r="I990" s="824"/>
      <c r="J990" s="824"/>
      <c r="K990" s="824"/>
      <c r="L990" s="824"/>
      <c r="M990" s="824"/>
      <c r="N990" s="824"/>
      <c r="O990" s="824"/>
      <c r="P990" s="824"/>
      <c r="Q990" s="824"/>
      <c r="R990" s="824"/>
      <c r="S990" s="824"/>
      <c r="T990" s="824"/>
      <c r="U990" s="824"/>
      <c r="V990" s="824"/>
      <c r="W990" s="824"/>
    </row>
    <row r="991" spans="2:23" hidden="1">
      <c r="B991" s="515"/>
      <c r="C991" s="516"/>
      <c r="D991" s="515"/>
      <c r="E991" s="824"/>
      <c r="F991" s="824"/>
      <c r="G991" s="824"/>
      <c r="H991" s="824"/>
      <c r="I991" s="824"/>
      <c r="J991" s="824"/>
      <c r="K991" s="824"/>
      <c r="L991" s="824"/>
      <c r="M991" s="824"/>
      <c r="N991" s="824"/>
      <c r="O991" s="824"/>
      <c r="P991" s="824"/>
      <c r="Q991" s="824"/>
      <c r="R991" s="824"/>
      <c r="S991" s="824"/>
      <c r="T991" s="824"/>
      <c r="U991" s="824"/>
      <c r="V991" s="824"/>
      <c r="W991" s="824"/>
    </row>
    <row r="992" spans="2:23" hidden="1">
      <c r="B992" s="515"/>
      <c r="C992" s="516"/>
      <c r="D992" s="515"/>
      <c r="E992" s="824"/>
      <c r="F992" s="824"/>
      <c r="G992" s="824"/>
      <c r="H992" s="824"/>
      <c r="I992" s="824"/>
      <c r="J992" s="824"/>
      <c r="K992" s="824"/>
      <c r="L992" s="824"/>
      <c r="M992" s="824"/>
      <c r="N992" s="824"/>
      <c r="O992" s="824"/>
      <c r="P992" s="824"/>
      <c r="Q992" s="824"/>
      <c r="R992" s="824"/>
      <c r="S992" s="824"/>
      <c r="T992" s="824"/>
      <c r="U992" s="824"/>
      <c r="V992" s="824"/>
      <c r="W992" s="824"/>
    </row>
    <row r="993" spans="2:23" hidden="1">
      <c r="B993" s="515"/>
      <c r="C993" s="516"/>
      <c r="D993" s="515"/>
      <c r="E993" s="824"/>
      <c r="F993" s="824"/>
      <c r="G993" s="824"/>
      <c r="H993" s="824"/>
      <c r="I993" s="824"/>
      <c r="J993" s="824"/>
      <c r="K993" s="824"/>
      <c r="L993" s="824"/>
      <c r="M993" s="824"/>
      <c r="N993" s="824"/>
      <c r="O993" s="824"/>
      <c r="P993" s="824"/>
      <c r="Q993" s="824"/>
      <c r="R993" s="824"/>
      <c r="S993" s="824"/>
      <c r="T993" s="824"/>
      <c r="U993" s="824"/>
      <c r="V993" s="824"/>
      <c r="W993" s="824"/>
    </row>
    <row r="994" spans="2:23" hidden="1">
      <c r="B994" s="515"/>
      <c r="C994" s="516"/>
      <c r="D994" s="515"/>
      <c r="E994" s="824"/>
      <c r="F994" s="824"/>
      <c r="G994" s="824"/>
      <c r="H994" s="824"/>
      <c r="I994" s="824"/>
      <c r="J994" s="824"/>
      <c r="K994" s="824"/>
      <c r="L994" s="824"/>
      <c r="M994" s="824"/>
      <c r="N994" s="824"/>
      <c r="O994" s="824"/>
      <c r="P994" s="824"/>
      <c r="Q994" s="824"/>
      <c r="R994" s="824"/>
      <c r="S994" s="824"/>
      <c r="T994" s="824"/>
      <c r="U994" s="824"/>
      <c r="V994" s="824"/>
      <c r="W994" s="824"/>
    </row>
    <row r="995" spans="2:23" hidden="1">
      <c r="B995" s="515"/>
      <c r="C995" s="516"/>
      <c r="D995" s="515"/>
      <c r="E995" s="824"/>
      <c r="F995" s="824"/>
      <c r="G995" s="824"/>
      <c r="H995" s="824"/>
      <c r="I995" s="824"/>
      <c r="J995" s="824"/>
      <c r="K995" s="824"/>
      <c r="L995" s="824"/>
      <c r="M995" s="824"/>
      <c r="N995" s="824"/>
      <c r="O995" s="824"/>
      <c r="P995" s="824"/>
      <c r="Q995" s="824"/>
      <c r="R995" s="824"/>
      <c r="S995" s="824"/>
      <c r="T995" s="824"/>
      <c r="U995" s="824"/>
      <c r="V995" s="824"/>
      <c r="W995" s="824"/>
    </row>
    <row r="996" spans="2:23" hidden="1">
      <c r="B996" s="515"/>
      <c r="C996" s="516"/>
      <c r="D996" s="515"/>
      <c r="E996" s="824"/>
      <c r="F996" s="824"/>
      <c r="G996" s="824"/>
      <c r="H996" s="824"/>
      <c r="I996" s="824"/>
      <c r="J996" s="824"/>
      <c r="K996" s="824"/>
      <c r="L996" s="824"/>
      <c r="M996" s="824"/>
      <c r="N996" s="824"/>
      <c r="O996" s="824"/>
      <c r="P996" s="824"/>
      <c r="Q996" s="824"/>
      <c r="R996" s="824"/>
      <c r="S996" s="824"/>
      <c r="T996" s="824"/>
      <c r="U996" s="824"/>
      <c r="V996" s="824"/>
      <c r="W996" s="824"/>
    </row>
    <row r="997" spans="2:23" hidden="1">
      <c r="B997" s="515"/>
      <c r="C997" s="516"/>
      <c r="D997" s="515"/>
      <c r="E997" s="824"/>
      <c r="F997" s="824"/>
      <c r="G997" s="824"/>
      <c r="H997" s="824"/>
      <c r="I997" s="824"/>
      <c r="J997" s="824"/>
      <c r="K997" s="824"/>
      <c r="L997" s="824"/>
      <c r="M997" s="824"/>
      <c r="N997" s="824"/>
      <c r="O997" s="824"/>
      <c r="P997" s="824"/>
      <c r="Q997" s="824"/>
      <c r="R997" s="824"/>
      <c r="S997" s="824"/>
      <c r="T997" s="824"/>
      <c r="U997" s="824"/>
      <c r="V997" s="824"/>
      <c r="W997" s="824"/>
    </row>
    <row r="998" spans="2:23" hidden="1">
      <c r="B998" s="515"/>
      <c r="C998" s="516"/>
      <c r="D998" s="515"/>
      <c r="E998" s="824"/>
      <c r="F998" s="824"/>
      <c r="G998" s="824"/>
      <c r="H998" s="824"/>
      <c r="I998" s="824"/>
      <c r="J998" s="824"/>
      <c r="K998" s="824"/>
      <c r="L998" s="824"/>
      <c r="M998" s="824"/>
      <c r="N998" s="824"/>
      <c r="O998" s="824"/>
      <c r="P998" s="824"/>
      <c r="Q998" s="824"/>
      <c r="R998" s="824"/>
      <c r="S998" s="824"/>
      <c r="T998" s="824"/>
      <c r="U998" s="824"/>
      <c r="V998" s="824"/>
      <c r="W998" s="824"/>
    </row>
    <row r="999" spans="2:23" hidden="1">
      <c r="B999" s="515"/>
      <c r="C999" s="516"/>
      <c r="D999" s="515"/>
      <c r="E999" s="824"/>
      <c r="F999" s="824"/>
      <c r="G999" s="824"/>
      <c r="H999" s="824"/>
      <c r="I999" s="824"/>
      <c r="J999" s="824"/>
      <c r="K999" s="824"/>
      <c r="L999" s="824"/>
      <c r="M999" s="824"/>
      <c r="N999" s="824"/>
      <c r="O999" s="824"/>
      <c r="P999" s="824"/>
      <c r="Q999" s="824"/>
      <c r="R999" s="824"/>
      <c r="S999" s="824"/>
      <c r="T999" s="824"/>
      <c r="U999" s="824"/>
      <c r="V999" s="824"/>
      <c r="W999" s="824"/>
    </row>
    <row r="1000" spans="2:23" hidden="1">
      <c r="B1000" s="515"/>
      <c r="C1000" s="516"/>
      <c r="D1000" s="515"/>
      <c r="E1000" s="824"/>
      <c r="F1000" s="824"/>
      <c r="G1000" s="824"/>
      <c r="H1000" s="824"/>
      <c r="I1000" s="824"/>
      <c r="J1000" s="824"/>
      <c r="K1000" s="824"/>
      <c r="L1000" s="824"/>
      <c r="M1000" s="824"/>
      <c r="N1000" s="824"/>
      <c r="O1000" s="824"/>
      <c r="P1000" s="824"/>
      <c r="Q1000" s="824"/>
      <c r="R1000" s="824"/>
      <c r="S1000" s="824"/>
      <c r="T1000" s="824"/>
      <c r="U1000" s="824"/>
      <c r="V1000" s="824"/>
      <c r="W1000" s="824"/>
    </row>
    <row r="1001" spans="2:23" hidden="1">
      <c r="B1001" s="515"/>
      <c r="C1001" s="516"/>
      <c r="D1001" s="515"/>
      <c r="E1001" s="824"/>
      <c r="F1001" s="824"/>
      <c r="G1001" s="824"/>
      <c r="H1001" s="824"/>
      <c r="I1001" s="824"/>
      <c r="J1001" s="824"/>
      <c r="K1001" s="824"/>
      <c r="L1001" s="824"/>
      <c r="M1001" s="824"/>
      <c r="N1001" s="824"/>
      <c r="O1001" s="824"/>
      <c r="P1001" s="824"/>
      <c r="Q1001" s="824"/>
      <c r="R1001" s="824"/>
      <c r="S1001" s="824"/>
      <c r="T1001" s="824"/>
      <c r="U1001" s="824"/>
      <c r="V1001" s="824"/>
      <c r="W1001" s="824"/>
    </row>
    <row r="1002" spans="2:23" hidden="1">
      <c r="B1002" s="515"/>
      <c r="C1002" s="516"/>
      <c r="D1002" s="515"/>
      <c r="E1002" s="824"/>
      <c r="F1002" s="824"/>
      <c r="G1002" s="824"/>
      <c r="H1002" s="824"/>
      <c r="I1002" s="824"/>
      <c r="J1002" s="824"/>
      <c r="K1002" s="824"/>
      <c r="L1002" s="824"/>
      <c r="M1002" s="824"/>
      <c r="N1002" s="824"/>
      <c r="O1002" s="824"/>
      <c r="P1002" s="824"/>
      <c r="Q1002" s="824"/>
      <c r="R1002" s="824"/>
      <c r="S1002" s="824"/>
      <c r="T1002" s="824"/>
      <c r="U1002" s="824"/>
      <c r="V1002" s="824"/>
      <c r="W1002" s="824"/>
    </row>
    <row r="1003" spans="2:23" hidden="1">
      <c r="B1003" s="515"/>
      <c r="C1003" s="516"/>
      <c r="D1003" s="515"/>
      <c r="E1003" s="824"/>
      <c r="F1003" s="824"/>
      <c r="G1003" s="824"/>
      <c r="H1003" s="824"/>
      <c r="I1003" s="824"/>
      <c r="J1003" s="824"/>
      <c r="K1003" s="824"/>
      <c r="L1003" s="824"/>
      <c r="M1003" s="824"/>
      <c r="N1003" s="824"/>
      <c r="O1003" s="824"/>
      <c r="P1003" s="824"/>
      <c r="Q1003" s="824"/>
      <c r="R1003" s="824"/>
      <c r="S1003" s="824"/>
      <c r="T1003" s="824"/>
      <c r="U1003" s="824"/>
      <c r="V1003" s="824"/>
      <c r="W1003" s="824"/>
    </row>
    <row r="1004" spans="2:23" hidden="1">
      <c r="B1004" s="515"/>
      <c r="C1004" s="516"/>
      <c r="D1004" s="515"/>
      <c r="E1004" s="824"/>
      <c r="F1004" s="824"/>
      <c r="G1004" s="824"/>
      <c r="H1004" s="824"/>
      <c r="I1004" s="824"/>
      <c r="J1004" s="824"/>
      <c r="K1004" s="824"/>
      <c r="L1004" s="824"/>
      <c r="M1004" s="824"/>
      <c r="N1004" s="824"/>
      <c r="O1004" s="824"/>
      <c r="P1004" s="824"/>
      <c r="Q1004" s="824"/>
      <c r="R1004" s="824"/>
      <c r="S1004" s="824"/>
      <c r="T1004" s="824"/>
      <c r="U1004" s="824"/>
      <c r="V1004" s="824"/>
      <c r="W1004" s="824"/>
    </row>
    <row r="1005" spans="2:23" hidden="1">
      <c r="B1005" s="515"/>
      <c r="C1005" s="516"/>
      <c r="D1005" s="515"/>
      <c r="E1005" s="824"/>
      <c r="F1005" s="824"/>
      <c r="G1005" s="824"/>
      <c r="H1005" s="824"/>
      <c r="I1005" s="824"/>
      <c r="J1005" s="824"/>
      <c r="K1005" s="824"/>
      <c r="L1005" s="824"/>
      <c r="M1005" s="824"/>
      <c r="N1005" s="824"/>
      <c r="O1005" s="824"/>
      <c r="P1005" s="824"/>
      <c r="Q1005" s="824"/>
      <c r="R1005" s="824"/>
      <c r="S1005" s="824"/>
      <c r="T1005" s="824"/>
      <c r="U1005" s="824"/>
      <c r="V1005" s="824"/>
      <c r="W1005" s="824"/>
    </row>
    <row r="1006" spans="2:23" hidden="1">
      <c r="B1006" s="515"/>
      <c r="C1006" s="516"/>
      <c r="D1006" s="515"/>
      <c r="E1006" s="824"/>
      <c r="F1006" s="824"/>
      <c r="G1006" s="824"/>
      <c r="H1006" s="824"/>
      <c r="I1006" s="824"/>
      <c r="J1006" s="824"/>
      <c r="K1006" s="824"/>
      <c r="L1006" s="824"/>
      <c r="M1006" s="824"/>
      <c r="N1006" s="824"/>
      <c r="O1006" s="824"/>
      <c r="P1006" s="824"/>
      <c r="Q1006" s="824"/>
      <c r="R1006" s="824"/>
      <c r="S1006" s="824"/>
      <c r="T1006" s="824"/>
      <c r="U1006" s="824"/>
      <c r="V1006" s="824"/>
      <c r="W1006" s="824"/>
    </row>
    <row r="1007" spans="2:23" hidden="1">
      <c r="B1007" s="515"/>
      <c r="C1007" s="516"/>
      <c r="D1007" s="515"/>
      <c r="E1007" s="824"/>
      <c r="F1007" s="824"/>
      <c r="G1007" s="824"/>
      <c r="H1007" s="824"/>
      <c r="I1007" s="824"/>
      <c r="J1007" s="824"/>
      <c r="K1007" s="824"/>
      <c r="L1007" s="824"/>
      <c r="M1007" s="824"/>
      <c r="N1007" s="824"/>
      <c r="O1007" s="824"/>
      <c r="P1007" s="824"/>
      <c r="Q1007" s="824"/>
      <c r="R1007" s="824"/>
      <c r="S1007" s="824"/>
      <c r="T1007" s="824"/>
      <c r="U1007" s="824"/>
      <c r="V1007" s="824"/>
      <c r="W1007" s="824"/>
    </row>
    <row r="1008" spans="2:23" hidden="1">
      <c r="B1008" s="515"/>
      <c r="C1008" s="516"/>
      <c r="D1008" s="515"/>
      <c r="E1008" s="824"/>
      <c r="F1008" s="824"/>
      <c r="G1008" s="824"/>
      <c r="H1008" s="824"/>
      <c r="I1008" s="824"/>
      <c r="J1008" s="824"/>
      <c r="K1008" s="824"/>
      <c r="L1008" s="824"/>
      <c r="M1008" s="824"/>
      <c r="N1008" s="824"/>
      <c r="O1008" s="824"/>
      <c r="P1008" s="824"/>
      <c r="Q1008" s="824"/>
      <c r="R1008" s="824"/>
      <c r="S1008" s="824"/>
      <c r="T1008" s="824"/>
      <c r="U1008" s="824"/>
      <c r="V1008" s="824"/>
      <c r="W1008" s="824"/>
    </row>
    <row r="1009" spans="2:23" hidden="1">
      <c r="B1009" s="515"/>
      <c r="C1009" s="516"/>
      <c r="D1009" s="515"/>
      <c r="E1009" s="824"/>
      <c r="F1009" s="824"/>
      <c r="G1009" s="824"/>
      <c r="H1009" s="824"/>
      <c r="I1009" s="824"/>
      <c r="J1009" s="824"/>
      <c r="K1009" s="824"/>
      <c r="L1009" s="824"/>
      <c r="M1009" s="824"/>
      <c r="N1009" s="824"/>
      <c r="O1009" s="824"/>
      <c r="P1009" s="824"/>
      <c r="Q1009" s="824"/>
      <c r="R1009" s="824"/>
      <c r="S1009" s="824"/>
      <c r="T1009" s="824"/>
      <c r="U1009" s="824"/>
      <c r="V1009" s="824"/>
      <c r="W1009" s="824"/>
    </row>
    <row r="1010" spans="2:23" hidden="1">
      <c r="B1010" s="515"/>
      <c r="C1010" s="516"/>
      <c r="D1010" s="515"/>
      <c r="E1010" s="824"/>
      <c r="F1010" s="824"/>
      <c r="G1010" s="824"/>
      <c r="H1010" s="824"/>
      <c r="I1010" s="824"/>
      <c r="J1010" s="824"/>
      <c r="K1010" s="824"/>
      <c r="L1010" s="824"/>
      <c r="M1010" s="824"/>
      <c r="N1010" s="824"/>
      <c r="O1010" s="824"/>
      <c r="P1010" s="824"/>
      <c r="Q1010" s="824"/>
      <c r="R1010" s="824"/>
      <c r="S1010" s="824"/>
      <c r="T1010" s="824"/>
      <c r="U1010" s="824"/>
      <c r="V1010" s="824"/>
      <c r="W1010" s="824"/>
    </row>
    <row r="1011" spans="2:23" hidden="1">
      <c r="B1011" s="515"/>
      <c r="C1011" s="516"/>
      <c r="D1011" s="515"/>
      <c r="E1011" s="824"/>
      <c r="F1011" s="824"/>
      <c r="G1011" s="824"/>
      <c r="H1011" s="824"/>
      <c r="I1011" s="824"/>
      <c r="J1011" s="824"/>
      <c r="K1011" s="824"/>
      <c r="L1011" s="824"/>
      <c r="M1011" s="824"/>
      <c r="N1011" s="824"/>
      <c r="O1011" s="824"/>
      <c r="P1011" s="824"/>
      <c r="Q1011" s="824"/>
      <c r="R1011" s="824"/>
      <c r="S1011" s="824"/>
      <c r="T1011" s="824"/>
      <c r="U1011" s="824"/>
      <c r="V1011" s="824"/>
      <c r="W1011" s="824"/>
    </row>
    <row r="1012" spans="2:23" hidden="1">
      <c r="B1012" s="515"/>
      <c r="C1012" s="516"/>
      <c r="D1012" s="515"/>
      <c r="E1012" s="824"/>
      <c r="F1012" s="824"/>
      <c r="G1012" s="824"/>
      <c r="H1012" s="824"/>
      <c r="I1012" s="824"/>
      <c r="J1012" s="824"/>
      <c r="K1012" s="824"/>
      <c r="L1012" s="824"/>
      <c r="M1012" s="824"/>
      <c r="N1012" s="824"/>
      <c r="O1012" s="824"/>
      <c r="P1012" s="824"/>
      <c r="Q1012" s="824"/>
      <c r="R1012" s="824"/>
      <c r="S1012" s="824"/>
      <c r="T1012" s="824"/>
      <c r="U1012" s="824"/>
      <c r="V1012" s="824"/>
      <c r="W1012" s="824"/>
    </row>
    <row r="1013" spans="2:23" hidden="1">
      <c r="B1013" s="515"/>
      <c r="C1013" s="516"/>
      <c r="D1013" s="515"/>
      <c r="E1013" s="824"/>
      <c r="F1013" s="824"/>
      <c r="G1013" s="824"/>
      <c r="H1013" s="824"/>
      <c r="I1013" s="824"/>
      <c r="J1013" s="824"/>
      <c r="K1013" s="824"/>
      <c r="L1013" s="824"/>
      <c r="M1013" s="824"/>
      <c r="N1013" s="824"/>
      <c r="O1013" s="824"/>
      <c r="P1013" s="824"/>
      <c r="Q1013" s="824"/>
      <c r="R1013" s="824"/>
      <c r="S1013" s="824"/>
      <c r="T1013" s="824"/>
      <c r="U1013" s="824"/>
      <c r="V1013" s="824"/>
      <c r="W1013" s="824"/>
    </row>
    <row r="1014" spans="2:23" hidden="1">
      <c r="B1014" s="515"/>
      <c r="C1014" s="516"/>
      <c r="D1014" s="515"/>
      <c r="E1014" s="824"/>
      <c r="F1014" s="824"/>
      <c r="G1014" s="824"/>
      <c r="H1014" s="824"/>
      <c r="I1014" s="824"/>
      <c r="J1014" s="824"/>
      <c r="K1014" s="824"/>
      <c r="L1014" s="824"/>
      <c r="M1014" s="824"/>
      <c r="N1014" s="824"/>
      <c r="O1014" s="824"/>
      <c r="P1014" s="824"/>
      <c r="Q1014" s="824"/>
      <c r="R1014" s="824"/>
      <c r="S1014" s="824"/>
      <c r="T1014" s="824"/>
      <c r="U1014" s="824"/>
      <c r="V1014" s="824"/>
      <c r="W1014" s="824"/>
    </row>
    <row r="1015" spans="2:23" hidden="1">
      <c r="B1015" s="515"/>
      <c r="C1015" s="516"/>
      <c r="D1015" s="515"/>
      <c r="E1015" s="824"/>
      <c r="F1015" s="824"/>
      <c r="G1015" s="824"/>
      <c r="H1015" s="824"/>
      <c r="I1015" s="824"/>
      <c r="J1015" s="824"/>
      <c r="K1015" s="824"/>
      <c r="L1015" s="824"/>
      <c r="M1015" s="824"/>
      <c r="N1015" s="824"/>
      <c r="O1015" s="824"/>
      <c r="P1015" s="824"/>
      <c r="Q1015" s="824"/>
      <c r="R1015" s="824"/>
      <c r="S1015" s="824"/>
      <c r="T1015" s="824"/>
      <c r="U1015" s="824"/>
      <c r="V1015" s="824"/>
      <c r="W1015" s="824"/>
    </row>
    <row r="1016" spans="2:23" hidden="1">
      <c r="B1016" s="515"/>
      <c r="C1016" s="516"/>
      <c r="D1016" s="515"/>
      <c r="E1016" s="824"/>
      <c r="F1016" s="824"/>
      <c r="G1016" s="824"/>
      <c r="H1016" s="824"/>
      <c r="I1016" s="824"/>
      <c r="J1016" s="824"/>
      <c r="K1016" s="824"/>
      <c r="L1016" s="824"/>
      <c r="M1016" s="824"/>
      <c r="N1016" s="824"/>
      <c r="O1016" s="824"/>
      <c r="P1016" s="824"/>
      <c r="Q1016" s="824"/>
      <c r="R1016" s="824"/>
      <c r="S1016" s="824"/>
      <c r="T1016" s="824"/>
      <c r="U1016" s="824"/>
      <c r="V1016" s="824"/>
      <c r="W1016" s="824"/>
    </row>
    <row r="1017" spans="2:23" hidden="1">
      <c r="B1017" s="515"/>
      <c r="C1017" s="516"/>
      <c r="D1017" s="515"/>
      <c r="E1017" s="824"/>
      <c r="F1017" s="824"/>
      <c r="G1017" s="824"/>
      <c r="H1017" s="824"/>
      <c r="I1017" s="824"/>
      <c r="J1017" s="824"/>
      <c r="K1017" s="824"/>
      <c r="L1017" s="824"/>
      <c r="M1017" s="824"/>
      <c r="N1017" s="824"/>
      <c r="O1017" s="824"/>
      <c r="P1017" s="824"/>
      <c r="Q1017" s="824"/>
      <c r="R1017" s="824"/>
      <c r="S1017" s="824"/>
      <c r="T1017" s="824"/>
      <c r="U1017" s="824"/>
      <c r="V1017" s="824"/>
      <c r="W1017" s="824"/>
    </row>
    <row r="1018" spans="2:23" hidden="1">
      <c r="B1018" s="515"/>
      <c r="C1018" s="516"/>
      <c r="D1018" s="515"/>
      <c r="E1018" s="824"/>
      <c r="F1018" s="824"/>
      <c r="G1018" s="824"/>
      <c r="H1018" s="824"/>
      <c r="I1018" s="824"/>
      <c r="J1018" s="824"/>
      <c r="K1018" s="824"/>
      <c r="L1018" s="824"/>
      <c r="M1018" s="824"/>
      <c r="N1018" s="824"/>
      <c r="O1018" s="824"/>
      <c r="P1018" s="824"/>
      <c r="Q1018" s="824"/>
      <c r="R1018" s="824"/>
      <c r="S1018" s="824"/>
      <c r="T1018" s="824"/>
      <c r="U1018" s="824"/>
      <c r="V1018" s="824"/>
      <c r="W1018" s="824"/>
    </row>
    <row r="1019" spans="2:23" hidden="1">
      <c r="B1019" s="515"/>
      <c r="C1019" s="516"/>
      <c r="D1019" s="515"/>
      <c r="E1019" s="824"/>
      <c r="F1019" s="824"/>
      <c r="G1019" s="824"/>
      <c r="H1019" s="824"/>
      <c r="I1019" s="824"/>
      <c r="J1019" s="824"/>
      <c r="K1019" s="824"/>
      <c r="L1019" s="824"/>
      <c r="M1019" s="824"/>
      <c r="N1019" s="824"/>
      <c r="O1019" s="824"/>
      <c r="P1019" s="824"/>
      <c r="Q1019" s="824"/>
      <c r="R1019" s="824"/>
      <c r="S1019" s="824"/>
      <c r="T1019" s="824"/>
      <c r="U1019" s="824"/>
      <c r="V1019" s="824"/>
      <c r="W1019" s="824"/>
    </row>
    <row r="1020" spans="2:23" hidden="1">
      <c r="B1020" s="515"/>
      <c r="C1020" s="516"/>
      <c r="D1020" s="515"/>
      <c r="E1020" s="824"/>
      <c r="F1020" s="824"/>
      <c r="G1020" s="824"/>
      <c r="H1020" s="824"/>
      <c r="I1020" s="824"/>
      <c r="J1020" s="824"/>
      <c r="K1020" s="824"/>
      <c r="L1020" s="824"/>
      <c r="M1020" s="824"/>
      <c r="N1020" s="824"/>
      <c r="O1020" s="824"/>
      <c r="P1020" s="824"/>
      <c r="Q1020" s="824"/>
      <c r="R1020" s="824"/>
      <c r="S1020" s="824"/>
      <c r="T1020" s="824"/>
      <c r="U1020" s="824"/>
      <c r="V1020" s="824"/>
      <c r="W1020" s="824"/>
    </row>
    <row r="1021" spans="2:23" hidden="1">
      <c r="B1021" s="515"/>
      <c r="C1021" s="516"/>
      <c r="D1021" s="515"/>
      <c r="E1021" s="824"/>
      <c r="F1021" s="824"/>
      <c r="G1021" s="824"/>
      <c r="H1021" s="824"/>
      <c r="I1021" s="824"/>
      <c r="J1021" s="824"/>
      <c r="K1021" s="824"/>
      <c r="L1021" s="824"/>
      <c r="M1021" s="824"/>
      <c r="N1021" s="824"/>
      <c r="O1021" s="824"/>
      <c r="P1021" s="824"/>
      <c r="Q1021" s="824"/>
      <c r="R1021" s="824"/>
      <c r="S1021" s="824"/>
      <c r="T1021" s="824"/>
      <c r="U1021" s="824"/>
      <c r="V1021" s="824"/>
      <c r="W1021" s="824"/>
    </row>
    <row r="1022" spans="2:23" hidden="1">
      <c r="B1022" s="515"/>
      <c r="C1022" s="516"/>
      <c r="D1022" s="515"/>
      <c r="E1022" s="824"/>
      <c r="F1022" s="824"/>
      <c r="G1022" s="824"/>
      <c r="H1022" s="824"/>
      <c r="I1022" s="824"/>
      <c r="J1022" s="824"/>
      <c r="K1022" s="824"/>
      <c r="L1022" s="824"/>
      <c r="M1022" s="824"/>
      <c r="N1022" s="824"/>
      <c r="O1022" s="824"/>
      <c r="P1022" s="824"/>
      <c r="Q1022" s="824"/>
      <c r="R1022" s="824"/>
      <c r="S1022" s="824"/>
      <c r="T1022" s="824"/>
      <c r="U1022" s="824"/>
      <c r="V1022" s="824"/>
      <c r="W1022" s="824"/>
    </row>
    <row r="1023" spans="2:23" hidden="1">
      <c r="B1023" s="515"/>
      <c r="C1023" s="516"/>
      <c r="D1023" s="515"/>
      <c r="E1023" s="824"/>
      <c r="F1023" s="824"/>
      <c r="G1023" s="824"/>
      <c r="H1023" s="824"/>
      <c r="I1023" s="824"/>
      <c r="J1023" s="824"/>
      <c r="K1023" s="824"/>
      <c r="L1023" s="824"/>
      <c r="M1023" s="824"/>
      <c r="N1023" s="824"/>
      <c r="O1023" s="824"/>
      <c r="P1023" s="824"/>
      <c r="Q1023" s="824"/>
      <c r="R1023" s="824"/>
      <c r="S1023" s="824"/>
      <c r="T1023" s="824"/>
      <c r="U1023" s="824"/>
      <c r="V1023" s="824"/>
      <c r="W1023" s="824"/>
    </row>
    <row r="1024" spans="2:23" hidden="1">
      <c r="B1024" s="515"/>
      <c r="C1024" s="516"/>
      <c r="D1024" s="515"/>
      <c r="E1024" s="824"/>
      <c r="F1024" s="824"/>
      <c r="G1024" s="824"/>
      <c r="H1024" s="824"/>
      <c r="I1024" s="824"/>
      <c r="J1024" s="824"/>
      <c r="K1024" s="824"/>
      <c r="L1024" s="824"/>
      <c r="M1024" s="824"/>
      <c r="N1024" s="824"/>
      <c r="O1024" s="824"/>
      <c r="P1024" s="824"/>
      <c r="Q1024" s="824"/>
      <c r="R1024" s="824"/>
      <c r="S1024" s="824"/>
      <c r="T1024" s="824"/>
      <c r="U1024" s="824"/>
      <c r="V1024" s="824"/>
      <c r="W1024" s="824"/>
    </row>
    <row r="1025" spans="2:23" hidden="1">
      <c r="B1025" s="515"/>
      <c r="C1025" s="516"/>
      <c r="D1025" s="515"/>
      <c r="E1025" s="824"/>
      <c r="F1025" s="824"/>
      <c r="G1025" s="824"/>
      <c r="H1025" s="824"/>
      <c r="I1025" s="824"/>
      <c r="J1025" s="824"/>
      <c r="K1025" s="824"/>
      <c r="L1025" s="824"/>
      <c r="M1025" s="824"/>
      <c r="N1025" s="824"/>
      <c r="O1025" s="824"/>
      <c r="P1025" s="824"/>
      <c r="Q1025" s="824"/>
      <c r="R1025" s="824"/>
      <c r="S1025" s="824"/>
      <c r="T1025" s="824"/>
      <c r="U1025" s="824"/>
      <c r="V1025" s="824"/>
      <c r="W1025" s="824"/>
    </row>
    <row r="1026" spans="2:23" hidden="1">
      <c r="B1026" s="515"/>
      <c r="C1026" s="516"/>
      <c r="D1026" s="515"/>
      <c r="E1026" s="824"/>
      <c r="F1026" s="824"/>
      <c r="G1026" s="824"/>
      <c r="H1026" s="824"/>
      <c r="I1026" s="824"/>
      <c r="J1026" s="824"/>
      <c r="K1026" s="824"/>
      <c r="L1026" s="824"/>
      <c r="M1026" s="824"/>
      <c r="N1026" s="824"/>
      <c r="O1026" s="824"/>
      <c r="P1026" s="824"/>
      <c r="Q1026" s="824"/>
      <c r="R1026" s="824"/>
      <c r="S1026" s="824"/>
      <c r="T1026" s="824"/>
      <c r="U1026" s="824"/>
      <c r="V1026" s="824"/>
      <c r="W1026" s="824"/>
    </row>
    <row r="1027" spans="2:23" hidden="1">
      <c r="B1027" s="515"/>
      <c r="C1027" s="516"/>
      <c r="D1027" s="515"/>
      <c r="E1027" s="824"/>
      <c r="F1027" s="824"/>
      <c r="G1027" s="824"/>
      <c r="H1027" s="824"/>
      <c r="I1027" s="824"/>
      <c r="J1027" s="824"/>
      <c r="K1027" s="824"/>
      <c r="L1027" s="824"/>
      <c r="M1027" s="824"/>
      <c r="N1027" s="824"/>
      <c r="O1027" s="824"/>
      <c r="P1027" s="824"/>
      <c r="Q1027" s="824"/>
      <c r="R1027" s="824"/>
      <c r="S1027" s="824"/>
      <c r="T1027" s="824"/>
      <c r="U1027" s="824"/>
      <c r="V1027" s="824"/>
      <c r="W1027" s="824"/>
    </row>
    <row r="1028" spans="2:23" hidden="1">
      <c r="B1028" s="515"/>
      <c r="C1028" s="516"/>
      <c r="D1028" s="515"/>
      <c r="E1028" s="824"/>
      <c r="F1028" s="824"/>
      <c r="G1028" s="824"/>
      <c r="H1028" s="824"/>
      <c r="I1028" s="824"/>
      <c r="J1028" s="824"/>
      <c r="K1028" s="824"/>
      <c r="L1028" s="824"/>
      <c r="M1028" s="824"/>
      <c r="N1028" s="824"/>
      <c r="O1028" s="824"/>
      <c r="P1028" s="824"/>
      <c r="Q1028" s="824"/>
      <c r="R1028" s="824"/>
      <c r="S1028" s="824"/>
      <c r="T1028" s="824"/>
      <c r="U1028" s="824"/>
      <c r="V1028" s="824"/>
      <c r="W1028" s="824"/>
    </row>
    <row r="1029" spans="2:23" hidden="1">
      <c r="B1029" s="515"/>
      <c r="C1029" s="516"/>
      <c r="D1029" s="515"/>
      <c r="E1029" s="824"/>
      <c r="F1029" s="824"/>
      <c r="G1029" s="824"/>
      <c r="H1029" s="824"/>
      <c r="I1029" s="824"/>
      <c r="J1029" s="824"/>
      <c r="K1029" s="824"/>
      <c r="L1029" s="824"/>
      <c r="M1029" s="824"/>
      <c r="N1029" s="824"/>
      <c r="O1029" s="824"/>
      <c r="P1029" s="824"/>
      <c r="Q1029" s="824"/>
      <c r="R1029" s="824"/>
      <c r="S1029" s="824"/>
      <c r="T1029" s="824"/>
      <c r="U1029" s="824"/>
      <c r="V1029" s="824"/>
      <c r="W1029" s="824"/>
    </row>
    <row r="1030" spans="2:23" hidden="1">
      <c r="B1030" s="515"/>
      <c r="C1030" s="516"/>
      <c r="D1030" s="515"/>
      <c r="E1030" s="824"/>
      <c r="F1030" s="824"/>
      <c r="G1030" s="824"/>
      <c r="H1030" s="824"/>
      <c r="I1030" s="824"/>
      <c r="J1030" s="824"/>
      <c r="K1030" s="824"/>
      <c r="L1030" s="824"/>
      <c r="M1030" s="824"/>
      <c r="N1030" s="824"/>
      <c r="O1030" s="824"/>
      <c r="P1030" s="824"/>
      <c r="Q1030" s="824"/>
      <c r="R1030" s="824"/>
      <c r="S1030" s="824"/>
      <c r="T1030" s="824"/>
      <c r="U1030" s="824"/>
      <c r="V1030" s="824"/>
      <c r="W1030" s="824"/>
    </row>
    <row r="1031" spans="2:23" hidden="1">
      <c r="B1031" s="515"/>
      <c r="C1031" s="516"/>
      <c r="D1031" s="515"/>
      <c r="E1031" s="824"/>
      <c r="F1031" s="824"/>
      <c r="G1031" s="824"/>
      <c r="H1031" s="824"/>
      <c r="I1031" s="824"/>
      <c r="J1031" s="824"/>
      <c r="K1031" s="824"/>
      <c r="L1031" s="824"/>
      <c r="M1031" s="824"/>
      <c r="N1031" s="824"/>
      <c r="O1031" s="824"/>
      <c r="P1031" s="824"/>
      <c r="Q1031" s="824"/>
      <c r="R1031" s="824"/>
      <c r="S1031" s="824"/>
      <c r="T1031" s="824"/>
      <c r="U1031" s="824"/>
      <c r="V1031" s="824"/>
      <c r="W1031" s="824"/>
    </row>
    <row r="1032" spans="2:23" hidden="1">
      <c r="B1032" s="515"/>
      <c r="C1032" s="516"/>
      <c r="D1032" s="515"/>
      <c r="E1032" s="824"/>
      <c r="F1032" s="824"/>
      <c r="G1032" s="824"/>
      <c r="H1032" s="824"/>
      <c r="I1032" s="824"/>
      <c r="J1032" s="824"/>
      <c r="K1032" s="824"/>
      <c r="L1032" s="824"/>
      <c r="M1032" s="824"/>
      <c r="N1032" s="824"/>
      <c r="O1032" s="824"/>
      <c r="P1032" s="824"/>
      <c r="Q1032" s="824"/>
      <c r="R1032" s="824"/>
      <c r="S1032" s="824"/>
      <c r="T1032" s="824"/>
      <c r="U1032" s="824"/>
      <c r="V1032" s="824"/>
      <c r="W1032" s="824"/>
    </row>
    <row r="1033" spans="2:23" hidden="1">
      <c r="B1033" s="515"/>
      <c r="C1033" s="516"/>
      <c r="D1033" s="515"/>
      <c r="E1033" s="824"/>
      <c r="F1033" s="824"/>
      <c r="G1033" s="824"/>
      <c r="H1033" s="824"/>
      <c r="I1033" s="824"/>
      <c r="J1033" s="824"/>
      <c r="K1033" s="824"/>
      <c r="L1033" s="824"/>
      <c r="M1033" s="824"/>
      <c r="N1033" s="824"/>
      <c r="O1033" s="824"/>
      <c r="P1033" s="824"/>
      <c r="Q1033" s="824"/>
      <c r="R1033" s="824"/>
      <c r="S1033" s="824"/>
      <c r="T1033" s="824"/>
      <c r="U1033" s="824"/>
      <c r="V1033" s="824"/>
      <c r="W1033" s="824"/>
    </row>
    <row r="1034" spans="2:23" hidden="1">
      <c r="B1034" s="515"/>
      <c r="C1034" s="516"/>
      <c r="D1034" s="515"/>
      <c r="E1034" s="824"/>
      <c r="F1034" s="824"/>
      <c r="G1034" s="824"/>
      <c r="H1034" s="824"/>
      <c r="I1034" s="824"/>
      <c r="J1034" s="824"/>
      <c r="K1034" s="824"/>
      <c r="L1034" s="824"/>
      <c r="M1034" s="824"/>
      <c r="N1034" s="824"/>
      <c r="O1034" s="824"/>
      <c r="P1034" s="824"/>
      <c r="Q1034" s="824"/>
      <c r="R1034" s="824"/>
      <c r="S1034" s="824"/>
      <c r="T1034" s="824"/>
      <c r="U1034" s="824"/>
      <c r="V1034" s="824"/>
      <c r="W1034" s="824"/>
    </row>
    <row r="1035" spans="2:23" hidden="1">
      <c r="B1035" s="515"/>
      <c r="C1035" s="516"/>
      <c r="D1035" s="515"/>
      <c r="E1035" s="824"/>
      <c r="F1035" s="824"/>
      <c r="G1035" s="824"/>
      <c r="H1035" s="824"/>
      <c r="I1035" s="824"/>
      <c r="J1035" s="824"/>
      <c r="K1035" s="824"/>
      <c r="L1035" s="824"/>
      <c r="M1035" s="824"/>
      <c r="N1035" s="824"/>
      <c r="O1035" s="824"/>
      <c r="P1035" s="824"/>
      <c r="Q1035" s="824"/>
      <c r="R1035" s="824"/>
      <c r="S1035" s="824"/>
      <c r="T1035" s="824"/>
      <c r="U1035" s="824"/>
      <c r="V1035" s="824"/>
      <c r="W1035" s="824"/>
    </row>
    <row r="1036" spans="2:23" hidden="1">
      <c r="B1036" s="515"/>
      <c r="C1036" s="516"/>
      <c r="D1036" s="515"/>
      <c r="E1036" s="824"/>
      <c r="F1036" s="824"/>
      <c r="G1036" s="824"/>
      <c r="H1036" s="824"/>
      <c r="I1036" s="824"/>
      <c r="J1036" s="824"/>
      <c r="K1036" s="824"/>
      <c r="L1036" s="824"/>
      <c r="M1036" s="824"/>
      <c r="N1036" s="824"/>
      <c r="O1036" s="824"/>
      <c r="P1036" s="824"/>
      <c r="Q1036" s="824"/>
      <c r="R1036" s="824"/>
      <c r="S1036" s="824"/>
      <c r="T1036" s="824"/>
      <c r="U1036" s="824"/>
      <c r="V1036" s="824"/>
      <c r="W1036" s="824"/>
    </row>
    <row r="1037" spans="2:23" hidden="1">
      <c r="B1037" s="847"/>
      <c r="D1037" s="848"/>
      <c r="E1037" s="847"/>
      <c r="F1037" s="847"/>
      <c r="G1037" s="847"/>
      <c r="H1037" s="847"/>
      <c r="I1037" s="847"/>
      <c r="J1037" s="847"/>
      <c r="K1037" s="847"/>
      <c r="L1037" s="847"/>
      <c r="M1037" s="847"/>
      <c r="N1037" s="847"/>
      <c r="O1037" s="847"/>
      <c r="P1037" s="847"/>
      <c r="Q1037" s="847"/>
      <c r="R1037" s="847"/>
      <c r="S1037" s="847"/>
      <c r="T1037" s="847"/>
      <c r="U1037" s="847"/>
      <c r="V1037" s="847"/>
      <c r="W1037" s="847"/>
    </row>
    <row r="1038" spans="2:23" hidden="1">
      <c r="B1038" s="847"/>
      <c r="D1038" s="848"/>
      <c r="E1038" s="847"/>
      <c r="F1038" s="847"/>
      <c r="G1038" s="847"/>
      <c r="H1038" s="847"/>
      <c r="I1038" s="847"/>
      <c r="J1038" s="847"/>
      <c r="K1038" s="847"/>
      <c r="L1038" s="847"/>
      <c r="M1038" s="847"/>
      <c r="N1038" s="847"/>
      <c r="O1038" s="847"/>
      <c r="P1038" s="847"/>
      <c r="Q1038" s="847"/>
      <c r="R1038" s="847"/>
      <c r="S1038" s="847"/>
      <c r="T1038" s="847"/>
      <c r="U1038" s="847"/>
      <c r="V1038" s="847"/>
      <c r="W1038" s="847"/>
    </row>
    <row r="1039" spans="2:23" hidden="1">
      <c r="B1039" s="847"/>
      <c r="D1039" s="848"/>
      <c r="E1039" s="847"/>
      <c r="F1039" s="847"/>
      <c r="G1039" s="847"/>
      <c r="H1039" s="847"/>
      <c r="I1039" s="847"/>
      <c r="J1039" s="847"/>
      <c r="K1039" s="847"/>
      <c r="L1039" s="847"/>
      <c r="M1039" s="847"/>
      <c r="N1039" s="847"/>
      <c r="O1039" s="847"/>
      <c r="P1039" s="847"/>
      <c r="Q1039" s="847"/>
      <c r="R1039" s="847"/>
      <c r="S1039" s="847"/>
      <c r="T1039" s="847"/>
      <c r="U1039" s="847"/>
      <c r="V1039" s="847"/>
      <c r="W1039" s="847"/>
    </row>
    <row r="1040" spans="2:23" hidden="1">
      <c r="B1040" s="847"/>
      <c r="D1040" s="848"/>
      <c r="E1040" s="847"/>
      <c r="F1040" s="847"/>
      <c r="G1040" s="847"/>
      <c r="H1040" s="847"/>
      <c r="I1040" s="847"/>
      <c r="J1040" s="847"/>
      <c r="K1040" s="847"/>
      <c r="L1040" s="847"/>
      <c r="M1040" s="847"/>
      <c r="N1040" s="847"/>
      <c r="O1040" s="847"/>
      <c r="P1040" s="847"/>
      <c r="Q1040" s="847"/>
      <c r="R1040" s="847"/>
      <c r="S1040" s="847"/>
      <c r="T1040" s="847"/>
      <c r="U1040" s="847"/>
      <c r="V1040" s="847"/>
      <c r="W1040" s="847"/>
    </row>
  </sheetData>
  <mergeCells count="4">
    <mergeCell ref="E117:F117"/>
    <mergeCell ref="E274:F274"/>
    <mergeCell ref="E50:F50"/>
    <mergeCell ref="E358:F3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A3C4C9"/>
  </sheetPr>
  <dimension ref="A1:I393"/>
  <sheetViews>
    <sheetView zoomScale="70" zoomScaleNormal="70" workbookViewId="0"/>
  </sheetViews>
  <sheetFormatPr baseColWidth="10" defaultColWidth="0" defaultRowHeight="0" customHeight="1" zeroHeight="1"/>
  <cols>
    <col min="1" max="1" width="2.6640625" style="8" customWidth="1"/>
    <col min="2" max="2" width="15.5" style="54" customWidth="1"/>
    <col min="3" max="3" width="119.6640625" style="8" customWidth="1"/>
    <col min="4" max="4" width="18.6640625" style="64" customWidth="1"/>
    <col min="5" max="5" width="15.83203125" style="8" bestFit="1" customWidth="1"/>
    <col min="6" max="6" width="12.6640625" style="66" customWidth="1"/>
    <col min="7" max="7" width="14.33203125" style="66" customWidth="1"/>
    <col min="8" max="8" width="192.6640625" style="261" customWidth="1"/>
    <col min="9" max="9" width="5.1640625" style="154" customWidth="1"/>
    <col min="10" max="16384" width="11.1640625" style="154" hidden="1"/>
  </cols>
  <sheetData>
    <row r="1" spans="1:9" ht="64" customHeight="1" thickBot="1">
      <c r="B1" s="1205" t="s">
        <v>1931</v>
      </c>
      <c r="C1" s="9"/>
      <c r="D1" s="55"/>
      <c r="E1" s="9"/>
      <c r="F1" s="56"/>
      <c r="G1" s="56"/>
      <c r="H1" s="260"/>
      <c r="I1" s="206"/>
    </row>
    <row r="2" spans="1:9" s="155" customFormat="1" ht="29" customHeight="1">
      <c r="A2" s="623"/>
      <c r="B2" s="10" t="s">
        <v>0</v>
      </c>
      <c r="C2" s="11" t="s">
        <v>1</v>
      </c>
      <c r="D2" s="57" t="s">
        <v>2</v>
      </c>
      <c r="E2" s="11" t="s">
        <v>3</v>
      </c>
      <c r="F2" s="57" t="s">
        <v>4</v>
      </c>
      <c r="G2" s="57" t="s">
        <v>5</v>
      </c>
      <c r="H2" s="12" t="s">
        <v>6</v>
      </c>
    </row>
    <row r="3" spans="1:9" ht="15.75" customHeight="1" thickBot="1">
      <c r="B3" s="13"/>
      <c r="C3" s="14"/>
      <c r="D3" s="58"/>
      <c r="E3" s="15"/>
      <c r="F3" s="117"/>
      <c r="G3" s="65"/>
      <c r="H3" s="16"/>
    </row>
    <row r="4" spans="1:9" ht="17">
      <c r="B4" s="17" t="s">
        <v>7</v>
      </c>
      <c r="C4" s="18"/>
      <c r="D4" s="59"/>
    </row>
    <row r="5" spans="1:9" ht="17">
      <c r="B5" s="19"/>
      <c r="C5" s="1225" t="s">
        <v>1906</v>
      </c>
      <c r="D5" s="59"/>
    </row>
    <row r="6" spans="1:9" ht="16">
      <c r="B6" s="20"/>
      <c r="C6" s="1225"/>
      <c r="D6" s="59"/>
    </row>
    <row r="7" spans="1:9" ht="17" customHeight="1" thickBot="1">
      <c r="B7" s="20"/>
      <c r="C7" s="1227" t="s">
        <v>1914</v>
      </c>
      <c r="D7" s="59"/>
    </row>
    <row r="8" spans="1:9" ht="17">
      <c r="B8" s="20"/>
      <c r="C8" s="1227"/>
      <c r="D8" s="59"/>
      <c r="E8" s="23" t="s">
        <v>13</v>
      </c>
      <c r="F8" s="118"/>
      <c r="G8" s="68"/>
      <c r="H8" s="24" t="s">
        <v>14</v>
      </c>
    </row>
    <row r="9" spans="1:9" ht="17" customHeight="1">
      <c r="B9" s="20"/>
      <c r="C9" s="1226" t="s">
        <v>1907</v>
      </c>
      <c r="D9" s="59"/>
      <c r="E9" s="25"/>
      <c r="F9" s="119"/>
      <c r="G9" s="69"/>
      <c r="H9" s="26" t="s">
        <v>16</v>
      </c>
    </row>
    <row r="10" spans="1:9" ht="17">
      <c r="B10" s="20"/>
      <c r="C10" s="1226"/>
      <c r="D10" s="59"/>
      <c r="E10" s="25"/>
      <c r="F10" s="119"/>
      <c r="G10" s="74"/>
      <c r="H10" s="26" t="s">
        <v>18</v>
      </c>
    </row>
    <row r="11" spans="1:9" ht="18" thickBot="1">
      <c r="B11" s="20"/>
      <c r="C11" s="1225" t="s">
        <v>1908</v>
      </c>
      <c r="D11" s="59"/>
      <c r="E11" s="28"/>
      <c r="F11" s="67"/>
      <c r="G11" s="1204"/>
      <c r="H11" s="259" t="s">
        <v>1915</v>
      </c>
    </row>
    <row r="12" spans="1:9" ht="16">
      <c r="B12" s="20"/>
      <c r="C12" s="1225"/>
      <c r="D12" s="59"/>
    </row>
    <row r="13" spans="1:9" s="156" customFormat="1" ht="16">
      <c r="A13" s="624"/>
      <c r="B13" s="27"/>
      <c r="C13" s="1225"/>
      <c r="D13" s="60"/>
      <c r="E13" s="8"/>
      <c r="F13" s="66"/>
      <c r="G13" s="66"/>
      <c r="H13" s="261"/>
    </row>
    <row r="14" spans="1:9" ht="16">
      <c r="B14" s="20"/>
      <c r="C14" s="1225"/>
      <c r="D14" s="59"/>
    </row>
    <row r="15" spans="1:9" ht="22" customHeight="1" thickBot="1">
      <c r="B15" s="30"/>
      <c r="C15" s="31" t="s">
        <v>21</v>
      </c>
      <c r="D15" s="61"/>
      <c r="E15" s="21"/>
      <c r="F15" s="120"/>
      <c r="G15" s="70"/>
      <c r="H15" s="29"/>
    </row>
    <row r="16" spans="1:9" ht="15" customHeight="1" thickBot="1"/>
    <row r="17" spans="1:8" s="157" customFormat="1" ht="25" thickBot="1">
      <c r="A17" s="625"/>
      <c r="B17" s="209" t="s">
        <v>22</v>
      </c>
      <c r="C17" s="210"/>
      <c r="D17" s="211"/>
      <c r="E17" s="212"/>
      <c r="F17" s="213"/>
      <c r="G17" s="214"/>
      <c r="H17" s="215"/>
    </row>
    <row r="18" spans="1:8" ht="17">
      <c r="B18" s="216"/>
      <c r="C18" s="1202" t="s">
        <v>23</v>
      </c>
      <c r="D18" s="1145"/>
      <c r="E18" s="71" t="s">
        <v>24</v>
      </c>
      <c r="F18" s="121" t="s">
        <v>25</v>
      </c>
      <c r="G18" s="72"/>
      <c r="H18" s="269" t="s">
        <v>23</v>
      </c>
    </row>
    <row r="19" spans="1:8" ht="17">
      <c r="B19" s="216"/>
      <c r="C19" s="1201" t="s">
        <v>26</v>
      </c>
      <c r="D19" s="1146"/>
      <c r="E19" s="73" t="s">
        <v>27</v>
      </c>
      <c r="F19" s="122" t="s">
        <v>25</v>
      </c>
      <c r="G19" s="74"/>
      <c r="H19" s="270" t="s">
        <v>26</v>
      </c>
    </row>
    <row r="20" spans="1:8" ht="17">
      <c r="B20" s="216"/>
      <c r="C20" s="38" t="s">
        <v>28</v>
      </c>
      <c r="D20" s="344"/>
      <c r="E20" s="73" t="s">
        <v>29</v>
      </c>
      <c r="F20" s="122" t="s">
        <v>25</v>
      </c>
      <c r="G20" s="74"/>
      <c r="H20" s="270" t="s">
        <v>30</v>
      </c>
    </row>
    <row r="21" spans="1:8" ht="17">
      <c r="B21" s="216"/>
      <c r="C21" s="33" t="s">
        <v>31</v>
      </c>
      <c r="D21" s="303"/>
      <c r="E21" s="73" t="s">
        <v>24</v>
      </c>
      <c r="F21" s="122" t="s">
        <v>25</v>
      </c>
      <c r="G21" s="74"/>
      <c r="H21" s="270" t="s">
        <v>32</v>
      </c>
    </row>
    <row r="22" spans="1:8" ht="17">
      <c r="B22" s="216"/>
      <c r="C22" s="33" t="s">
        <v>33</v>
      </c>
      <c r="D22" s="303"/>
      <c r="E22" s="73" t="s">
        <v>35</v>
      </c>
      <c r="F22" s="122" t="s">
        <v>25</v>
      </c>
      <c r="G22" s="74"/>
      <c r="H22" s="270" t="s">
        <v>36</v>
      </c>
    </row>
    <row r="23" spans="1:8" ht="17">
      <c r="B23" s="216"/>
      <c r="C23" s="33" t="s">
        <v>37</v>
      </c>
      <c r="D23" s="303"/>
      <c r="E23" s="73" t="s">
        <v>38</v>
      </c>
      <c r="F23" s="122" t="s">
        <v>25</v>
      </c>
      <c r="G23" s="74"/>
      <c r="H23" s="271" t="s">
        <v>1866</v>
      </c>
    </row>
    <row r="24" spans="1:8" ht="17">
      <c r="B24" s="216"/>
      <c r="C24" s="33" t="s">
        <v>39</v>
      </c>
      <c r="D24" s="303"/>
      <c r="E24" s="73" t="s">
        <v>38</v>
      </c>
      <c r="F24" s="122" t="s">
        <v>25</v>
      </c>
      <c r="G24" s="74"/>
      <c r="H24" s="271" t="s">
        <v>40</v>
      </c>
    </row>
    <row r="25" spans="1:8" ht="17">
      <c r="B25" s="216"/>
      <c r="C25" s="33" t="s">
        <v>41</v>
      </c>
      <c r="D25" s="303"/>
      <c r="E25" s="73" t="s">
        <v>38</v>
      </c>
      <c r="F25" s="122" t="s">
        <v>25</v>
      </c>
      <c r="G25" s="74"/>
      <c r="H25" s="271" t="s">
        <v>1864</v>
      </c>
    </row>
    <row r="26" spans="1:8" ht="17">
      <c r="B26" s="216"/>
      <c r="C26" s="33" t="s">
        <v>42</v>
      </c>
      <c r="D26" s="303"/>
      <c r="E26" s="73" t="s">
        <v>38</v>
      </c>
      <c r="F26" s="122" t="s">
        <v>25</v>
      </c>
      <c r="G26" s="74"/>
      <c r="H26" s="271" t="s">
        <v>1865</v>
      </c>
    </row>
    <row r="27" spans="1:8" ht="17">
      <c r="B27" s="216"/>
      <c r="C27" s="33" t="s">
        <v>43</v>
      </c>
      <c r="D27" s="303"/>
      <c r="E27" s="73" t="s">
        <v>38</v>
      </c>
      <c r="F27" s="122" t="s">
        <v>25</v>
      </c>
      <c r="G27" s="74"/>
      <c r="H27" s="270" t="s">
        <v>1867</v>
      </c>
    </row>
    <row r="28" spans="1:8" ht="17">
      <c r="B28" s="216"/>
      <c r="C28" s="34" t="s">
        <v>44</v>
      </c>
      <c r="D28" s="608"/>
      <c r="E28" s="75" t="s">
        <v>45</v>
      </c>
      <c r="F28" s="123" t="s">
        <v>25</v>
      </c>
      <c r="G28" s="76"/>
      <c r="H28" s="272" t="s">
        <v>46</v>
      </c>
    </row>
    <row r="29" spans="1:8" s="158" customFormat="1" ht="21">
      <c r="A29" s="626"/>
      <c r="B29" s="217" t="s">
        <v>47</v>
      </c>
      <c r="C29" s="36"/>
      <c r="D29" s="304"/>
      <c r="E29" s="37"/>
      <c r="F29" s="124"/>
      <c r="G29" s="89"/>
      <c r="H29" s="273"/>
    </row>
    <row r="30" spans="1:8" ht="17">
      <c r="B30" s="216"/>
      <c r="C30" s="1201" t="s">
        <v>48</v>
      </c>
      <c r="D30" s="356"/>
      <c r="E30" s="77" t="s">
        <v>29</v>
      </c>
      <c r="F30" s="125"/>
      <c r="G30" s="72"/>
      <c r="H30" s="269" t="s">
        <v>1868</v>
      </c>
    </row>
    <row r="31" spans="1:8" ht="17">
      <c r="B31" s="216"/>
      <c r="C31" s="1201" t="s">
        <v>49</v>
      </c>
      <c r="D31" s="357"/>
      <c r="E31" s="73" t="s">
        <v>29</v>
      </c>
      <c r="F31" s="116"/>
      <c r="G31" s="74"/>
      <c r="H31" s="270" t="s">
        <v>50</v>
      </c>
    </row>
    <row r="32" spans="1:8" ht="17">
      <c r="B32" s="216"/>
      <c r="C32" s="1201" t="s">
        <v>51</v>
      </c>
      <c r="D32" s="357"/>
      <c r="E32" s="73" t="s">
        <v>29</v>
      </c>
      <c r="F32" s="116"/>
      <c r="G32" s="74"/>
      <c r="H32" s="270" t="s">
        <v>52</v>
      </c>
    </row>
    <row r="33" spans="1:8" ht="17">
      <c r="B33" s="216"/>
      <c r="C33" s="1201" t="s">
        <v>53</v>
      </c>
      <c r="D33" s="357"/>
      <c r="E33" s="73" t="s">
        <v>29</v>
      </c>
      <c r="F33" s="116"/>
      <c r="G33" s="74"/>
      <c r="H33" s="270" t="s">
        <v>54</v>
      </c>
    </row>
    <row r="34" spans="1:8" ht="17">
      <c r="B34" s="216"/>
      <c r="C34" s="1201" t="s">
        <v>55</v>
      </c>
      <c r="D34" s="357"/>
      <c r="E34" s="73" t="s">
        <v>29</v>
      </c>
      <c r="F34" s="116"/>
      <c r="G34" s="74"/>
      <c r="H34" s="270" t="s">
        <v>56</v>
      </c>
    </row>
    <row r="35" spans="1:8" ht="17">
      <c r="B35" s="216"/>
      <c r="C35" s="1201" t="s">
        <v>57</v>
      </c>
      <c r="D35" s="357"/>
      <c r="E35" s="73" t="s">
        <v>29</v>
      </c>
      <c r="F35" s="116"/>
      <c r="G35" s="74"/>
      <c r="H35" s="270" t="s">
        <v>58</v>
      </c>
    </row>
    <row r="36" spans="1:8" ht="17">
      <c r="B36" s="216"/>
      <c r="C36" s="1201" t="s">
        <v>59</v>
      </c>
      <c r="D36" s="357"/>
      <c r="E36" s="73" t="s">
        <v>29</v>
      </c>
      <c r="F36" s="116"/>
      <c r="G36" s="74"/>
      <c r="H36" s="270" t="s">
        <v>60</v>
      </c>
    </row>
    <row r="37" spans="1:8" ht="17">
      <c r="B37" s="216"/>
      <c r="C37" s="1201" t="s">
        <v>61</v>
      </c>
      <c r="D37" s="357"/>
      <c r="E37" s="73" t="s">
        <v>29</v>
      </c>
      <c r="F37" s="116"/>
      <c r="G37" s="74"/>
      <c r="H37" s="270" t="s">
        <v>62</v>
      </c>
    </row>
    <row r="38" spans="1:8" ht="17">
      <c r="B38" s="216"/>
      <c r="C38" s="1201" t="s">
        <v>63</v>
      </c>
      <c r="D38" s="357"/>
      <c r="E38" s="73" t="s">
        <v>29</v>
      </c>
      <c r="F38" s="116"/>
      <c r="G38" s="74"/>
      <c r="H38" s="270" t="s">
        <v>64</v>
      </c>
    </row>
    <row r="39" spans="1:8" ht="17">
      <c r="B39" s="216"/>
      <c r="C39" s="1201" t="s">
        <v>65</v>
      </c>
      <c r="D39" s="357"/>
      <c r="E39" s="73" t="s">
        <v>29</v>
      </c>
      <c r="F39" s="116"/>
      <c r="G39" s="74"/>
      <c r="H39" s="270" t="s">
        <v>66</v>
      </c>
    </row>
    <row r="40" spans="1:8" ht="17">
      <c r="B40" s="216"/>
      <c r="C40" s="1201" t="s">
        <v>67</v>
      </c>
      <c r="D40" s="1147"/>
      <c r="E40" s="78" t="s">
        <v>29</v>
      </c>
      <c r="F40" s="126"/>
      <c r="G40" s="76"/>
      <c r="H40" s="272" t="s">
        <v>68</v>
      </c>
    </row>
    <row r="41" spans="1:8" s="158" customFormat="1" ht="21">
      <c r="A41" s="626"/>
      <c r="B41" s="217" t="s">
        <v>69</v>
      </c>
      <c r="C41" s="36"/>
      <c r="D41" s="304"/>
      <c r="E41" s="37"/>
      <c r="F41" s="124"/>
      <c r="G41" s="89"/>
      <c r="H41" s="273"/>
    </row>
    <row r="42" spans="1:8" ht="17">
      <c r="B42" s="216"/>
      <c r="C42" s="1201" t="s">
        <v>70</v>
      </c>
      <c r="D42" s="356"/>
      <c r="E42" s="77" t="s">
        <v>29</v>
      </c>
      <c r="F42" s="125"/>
      <c r="G42" s="72"/>
      <c r="H42" s="274" t="s">
        <v>71</v>
      </c>
    </row>
    <row r="43" spans="1:8" ht="17">
      <c r="B43" s="216"/>
      <c r="C43" s="1201" t="s">
        <v>72</v>
      </c>
      <c r="D43" s="357"/>
      <c r="E43" s="73" t="s">
        <v>29</v>
      </c>
      <c r="F43" s="116"/>
      <c r="G43" s="74"/>
      <c r="H43" s="270" t="s">
        <v>73</v>
      </c>
    </row>
    <row r="44" spans="1:8" ht="17">
      <c r="B44" s="218"/>
      <c r="C44" s="1201" t="s">
        <v>74</v>
      </c>
      <c r="D44" s="580"/>
      <c r="E44" s="577" t="s">
        <v>29</v>
      </c>
      <c r="F44" s="578"/>
      <c r="G44" s="575"/>
      <c r="H44" s="574" t="s">
        <v>75</v>
      </c>
    </row>
    <row r="45" spans="1:8" ht="16">
      <c r="B45" s="219"/>
      <c r="C45" s="14"/>
      <c r="D45" s="305"/>
      <c r="E45" s="14"/>
      <c r="F45" s="5"/>
      <c r="G45" s="4"/>
      <c r="H45" s="275"/>
    </row>
    <row r="46" spans="1:8" s="157" customFormat="1" ht="24">
      <c r="A46" s="625"/>
      <c r="B46" s="220" t="s">
        <v>76</v>
      </c>
      <c r="C46" s="164"/>
      <c r="D46" s="306"/>
      <c r="E46" s="164"/>
      <c r="F46" s="165"/>
      <c r="G46" s="166"/>
      <c r="H46" s="276"/>
    </row>
    <row r="47" spans="1:8" s="158" customFormat="1" ht="21">
      <c r="A47" s="626"/>
      <c r="B47" s="221" t="s">
        <v>77</v>
      </c>
      <c r="C47" s="167"/>
      <c r="D47" s="307"/>
      <c r="E47" s="167"/>
      <c r="F47" s="168"/>
      <c r="G47" s="169"/>
      <c r="H47" s="277"/>
    </row>
    <row r="48" spans="1:8" ht="34">
      <c r="B48" s="220"/>
      <c r="C48" s="38" t="s">
        <v>78</v>
      </c>
      <c r="D48" s="345"/>
      <c r="E48" s="77" t="s">
        <v>79</v>
      </c>
      <c r="F48" s="125"/>
      <c r="G48" s="72"/>
      <c r="H48" s="262" t="s">
        <v>80</v>
      </c>
    </row>
    <row r="49" spans="1:8" ht="34">
      <c r="B49" s="220"/>
      <c r="C49" s="33" t="s">
        <v>81</v>
      </c>
      <c r="D49" s="344"/>
      <c r="E49" s="73" t="s">
        <v>79</v>
      </c>
      <c r="F49" s="116"/>
      <c r="G49" s="74"/>
      <c r="H49" s="278" t="s">
        <v>82</v>
      </c>
    </row>
    <row r="50" spans="1:8" ht="24">
      <c r="B50" s="220"/>
      <c r="C50" s="33" t="s">
        <v>83</v>
      </c>
      <c r="D50" s="344"/>
      <c r="E50" s="73" t="s">
        <v>79</v>
      </c>
      <c r="F50" s="116"/>
      <c r="G50" s="74"/>
      <c r="H50" s="278" t="s">
        <v>84</v>
      </c>
    </row>
    <row r="51" spans="1:8" ht="34">
      <c r="A51" s="821"/>
      <c r="B51" s="220"/>
      <c r="C51" s="33" t="s">
        <v>85</v>
      </c>
      <c r="D51" s="344"/>
      <c r="E51" s="73" t="s">
        <v>79</v>
      </c>
      <c r="F51" s="116"/>
      <c r="G51" s="74"/>
      <c r="H51" s="278" t="s">
        <v>86</v>
      </c>
    </row>
    <row r="52" spans="1:8" ht="34">
      <c r="A52" s="821"/>
      <c r="B52" s="220"/>
      <c r="C52" s="34" t="s">
        <v>87</v>
      </c>
      <c r="D52" s="346"/>
      <c r="E52" s="78" t="s">
        <v>79</v>
      </c>
      <c r="F52" s="126"/>
      <c r="G52" s="76"/>
      <c r="H52" s="279" t="s">
        <v>88</v>
      </c>
    </row>
    <row r="53" spans="1:8" s="158" customFormat="1" ht="21">
      <c r="A53" s="626"/>
      <c r="B53" s="221" t="s">
        <v>89</v>
      </c>
      <c r="C53" s="167"/>
      <c r="D53" s="307"/>
      <c r="E53" s="167"/>
      <c r="F53" s="168"/>
      <c r="G53" s="169"/>
      <c r="H53" s="277"/>
    </row>
    <row r="54" spans="1:8" ht="24">
      <c r="B54" s="220"/>
      <c r="C54" s="38" t="s">
        <v>90</v>
      </c>
      <c r="D54" s="345"/>
      <c r="E54" s="77" t="s">
        <v>91</v>
      </c>
      <c r="F54" s="125"/>
      <c r="G54" s="72"/>
      <c r="H54" s="262" t="s">
        <v>92</v>
      </c>
    </row>
    <row r="55" spans="1:8" ht="34">
      <c r="B55" s="220"/>
      <c r="C55" s="33" t="s">
        <v>93</v>
      </c>
      <c r="D55" s="345"/>
      <c r="E55" s="77" t="s">
        <v>91</v>
      </c>
      <c r="F55" s="116"/>
      <c r="G55" s="74"/>
      <c r="H55" s="278" t="s">
        <v>94</v>
      </c>
    </row>
    <row r="56" spans="1:8" ht="34">
      <c r="B56" s="220"/>
      <c r="C56" s="609" t="s">
        <v>95</v>
      </c>
      <c r="D56" s="345"/>
      <c r="E56" s="77" t="s">
        <v>96</v>
      </c>
      <c r="F56" s="116"/>
      <c r="G56" s="74"/>
      <c r="H56" s="278" t="s">
        <v>97</v>
      </c>
    </row>
    <row r="57" spans="1:8" ht="34">
      <c r="B57" s="220"/>
      <c r="C57" s="609" t="s">
        <v>98</v>
      </c>
      <c r="D57" s="345"/>
      <c r="E57" s="77" t="s">
        <v>96</v>
      </c>
      <c r="F57" s="116"/>
      <c r="G57" s="74"/>
      <c r="H57" s="278" t="s">
        <v>99</v>
      </c>
    </row>
    <row r="58" spans="1:8" ht="34">
      <c r="B58" s="220"/>
      <c r="C58" s="33" t="s">
        <v>100</v>
      </c>
      <c r="D58" s="345"/>
      <c r="E58" s="73" t="s">
        <v>101</v>
      </c>
      <c r="F58" s="116"/>
      <c r="G58" s="74"/>
      <c r="H58" s="270" t="s">
        <v>102</v>
      </c>
    </row>
    <row r="59" spans="1:8" ht="34">
      <c r="B59" s="220"/>
      <c r="C59" s="609" t="s">
        <v>103</v>
      </c>
      <c r="D59" s="345"/>
      <c r="E59" s="77" t="s">
        <v>96</v>
      </c>
      <c r="F59" s="116"/>
      <c r="G59" s="74"/>
      <c r="H59" s="279" t="s">
        <v>104</v>
      </c>
    </row>
    <row r="60" spans="1:8" ht="34">
      <c r="B60" s="220"/>
      <c r="C60" s="33" t="s">
        <v>105</v>
      </c>
      <c r="D60" s="345"/>
      <c r="E60" s="73" t="s">
        <v>96</v>
      </c>
      <c r="F60" s="116"/>
      <c r="G60" s="74"/>
      <c r="H60" s="574" t="s">
        <v>106</v>
      </c>
    </row>
    <row r="61" spans="1:8" ht="16">
      <c r="B61" s="222"/>
      <c r="C61" s="14"/>
      <c r="D61" s="308"/>
      <c r="E61" s="14"/>
      <c r="F61" s="5"/>
      <c r="G61" s="4"/>
      <c r="H61" s="275"/>
    </row>
    <row r="62" spans="1:8" s="157" customFormat="1" ht="24">
      <c r="A62" s="625"/>
      <c r="B62" s="223" t="s">
        <v>107</v>
      </c>
      <c r="C62" s="170"/>
      <c r="D62" s="309"/>
      <c r="E62" s="171"/>
      <c r="F62" s="172"/>
      <c r="G62" s="173"/>
      <c r="H62" s="280"/>
    </row>
    <row r="63" spans="1:8" ht="233.25" customHeight="1">
      <c r="B63" s="224" t="s">
        <v>108</v>
      </c>
      <c r="C63" s="641" t="s">
        <v>109</v>
      </c>
      <c r="D63" s="310"/>
      <c r="E63" s="181"/>
      <c r="F63" s="607"/>
      <c r="G63" s="607"/>
      <c r="H63" s="642"/>
    </row>
    <row r="64" spans="1:8" s="158" customFormat="1" ht="60">
      <c r="A64" s="626"/>
      <c r="B64" s="225" t="s">
        <v>110</v>
      </c>
      <c r="C64" s="174"/>
      <c r="D64" s="311"/>
      <c r="E64" s="175"/>
      <c r="F64" s="176"/>
      <c r="G64" s="177"/>
      <c r="H64" s="359" t="s">
        <v>111</v>
      </c>
    </row>
    <row r="65" spans="1:8" s="159" customFormat="1" ht="19">
      <c r="A65" s="627"/>
      <c r="B65" s="226" t="s">
        <v>112</v>
      </c>
      <c r="C65" s="182"/>
      <c r="D65" s="312"/>
      <c r="E65" s="183"/>
      <c r="F65" s="184"/>
      <c r="G65" s="185"/>
      <c r="H65" s="281"/>
    </row>
    <row r="66" spans="1:8" ht="34">
      <c r="B66" s="227"/>
      <c r="C66" s="610" t="s">
        <v>113</v>
      </c>
      <c r="D66" s="347"/>
      <c r="E66" s="614" t="s">
        <v>96</v>
      </c>
      <c r="F66" s="130"/>
      <c r="G66" s="91"/>
      <c r="H66" s="617" t="s">
        <v>114</v>
      </c>
    </row>
    <row r="67" spans="1:8" ht="34">
      <c r="B67" s="227"/>
      <c r="C67" s="611" t="s">
        <v>115</v>
      </c>
      <c r="D67" s="381"/>
      <c r="E67" s="615" t="s">
        <v>96</v>
      </c>
      <c r="F67" s="382"/>
      <c r="G67" s="383"/>
      <c r="H67" s="618" t="s">
        <v>116</v>
      </c>
    </row>
    <row r="68" spans="1:8" ht="16">
      <c r="B68" s="227"/>
      <c r="C68" s="612"/>
      <c r="D68" s="313"/>
      <c r="E68" s="610"/>
      <c r="F68" s="1151"/>
      <c r="G68" s="387"/>
      <c r="H68" s="617"/>
    </row>
    <row r="69" spans="1:8" ht="34">
      <c r="B69" s="227"/>
      <c r="C69" s="613" t="s">
        <v>117</v>
      </c>
      <c r="D69" s="384"/>
      <c r="E69" s="616" t="s">
        <v>96</v>
      </c>
      <c r="F69" s="385"/>
      <c r="G69" s="386"/>
      <c r="H69" s="619" t="s">
        <v>118</v>
      </c>
    </row>
    <row r="70" spans="1:8" ht="34">
      <c r="B70" s="227"/>
      <c r="C70" s="611" t="s">
        <v>119</v>
      </c>
      <c r="D70" s="381"/>
      <c r="E70" s="615" t="s">
        <v>96</v>
      </c>
      <c r="F70" s="382"/>
      <c r="G70" s="383"/>
      <c r="H70" s="618" t="s">
        <v>120</v>
      </c>
    </row>
    <row r="71" spans="1:8" ht="16">
      <c r="B71" s="227"/>
      <c r="C71" s="612"/>
      <c r="D71" s="313"/>
      <c r="E71" s="610"/>
      <c r="F71" s="1151"/>
      <c r="G71" s="387"/>
      <c r="H71" s="617"/>
    </row>
    <row r="72" spans="1:8" ht="34">
      <c r="B72" s="227"/>
      <c r="C72" s="613" t="s">
        <v>121</v>
      </c>
      <c r="D72" s="384"/>
      <c r="E72" s="616" t="s">
        <v>96</v>
      </c>
      <c r="F72" s="385"/>
      <c r="G72" s="386"/>
      <c r="H72" s="619" t="s">
        <v>122</v>
      </c>
    </row>
    <row r="73" spans="1:8" ht="34">
      <c r="B73" s="227"/>
      <c r="C73" s="611" t="s">
        <v>123</v>
      </c>
      <c r="D73" s="381"/>
      <c r="E73" s="615" t="s">
        <v>96</v>
      </c>
      <c r="F73" s="382"/>
      <c r="G73" s="383"/>
      <c r="H73" s="618" t="s">
        <v>124</v>
      </c>
    </row>
    <row r="74" spans="1:8" ht="16">
      <c r="B74" s="227"/>
      <c r="C74" s="612"/>
      <c r="D74" s="313"/>
      <c r="E74" s="610"/>
      <c r="F74" s="1151"/>
      <c r="G74" s="387"/>
      <c r="H74" s="617"/>
    </row>
    <row r="75" spans="1:8" ht="34">
      <c r="B75" s="227"/>
      <c r="C75" s="613" t="s">
        <v>125</v>
      </c>
      <c r="D75" s="384"/>
      <c r="E75" s="616" t="s">
        <v>96</v>
      </c>
      <c r="F75" s="385"/>
      <c r="G75" s="386"/>
      <c r="H75" s="619" t="s">
        <v>126</v>
      </c>
    </row>
    <row r="76" spans="1:8" ht="34">
      <c r="B76" s="227"/>
      <c r="C76" s="611" t="s">
        <v>127</v>
      </c>
      <c r="D76" s="381"/>
      <c r="E76" s="615" t="s">
        <v>96</v>
      </c>
      <c r="F76" s="382"/>
      <c r="G76" s="383"/>
      <c r="H76" s="618" t="s">
        <v>128</v>
      </c>
    </row>
    <row r="77" spans="1:8" ht="16">
      <c r="B77" s="227"/>
      <c r="C77" s="612"/>
      <c r="D77" s="313"/>
      <c r="E77" s="610"/>
      <c r="F77" s="1151"/>
      <c r="G77" s="387"/>
      <c r="H77" s="617"/>
    </row>
    <row r="78" spans="1:8" ht="34">
      <c r="A78" s="821"/>
      <c r="B78" s="227"/>
      <c r="C78" s="613" t="s">
        <v>129</v>
      </c>
      <c r="D78" s="384"/>
      <c r="E78" s="616" t="s">
        <v>96</v>
      </c>
      <c r="F78" s="385"/>
      <c r="G78" s="386"/>
      <c r="H78" s="619" t="s">
        <v>130</v>
      </c>
    </row>
    <row r="79" spans="1:8" ht="51">
      <c r="B79" s="227"/>
      <c r="C79" s="610" t="s">
        <v>131</v>
      </c>
      <c r="D79" s="347"/>
      <c r="E79" s="614" t="s">
        <v>96</v>
      </c>
      <c r="F79" s="130"/>
      <c r="G79" s="91"/>
      <c r="H79" s="617" t="s">
        <v>132</v>
      </c>
    </row>
    <row r="80" spans="1:8" ht="34">
      <c r="B80" s="227"/>
      <c r="C80" s="610" t="s">
        <v>133</v>
      </c>
      <c r="D80" s="347"/>
      <c r="E80" s="614" t="s">
        <v>96</v>
      </c>
      <c r="F80" s="130"/>
      <c r="G80" s="91"/>
      <c r="H80" s="617" t="s">
        <v>134</v>
      </c>
    </row>
    <row r="81" spans="1:8" ht="51">
      <c r="B81" s="227"/>
      <c r="C81" s="611" t="s">
        <v>135</v>
      </c>
      <c r="D81" s="381"/>
      <c r="E81" s="615" t="s">
        <v>96</v>
      </c>
      <c r="F81" s="382"/>
      <c r="G81" s="383"/>
      <c r="H81" s="618" t="s">
        <v>136</v>
      </c>
    </row>
    <row r="82" spans="1:8" ht="16">
      <c r="B82" s="227"/>
      <c r="C82" s="612"/>
      <c r="D82" s="313"/>
      <c r="E82" s="610"/>
      <c r="F82" s="1151"/>
      <c r="G82" s="387"/>
      <c r="H82" s="617"/>
    </row>
    <row r="83" spans="1:8" ht="34">
      <c r="A83" s="821"/>
      <c r="B83" s="227"/>
      <c r="C83" s="613" t="s">
        <v>137</v>
      </c>
      <c r="D83" s="384"/>
      <c r="E83" s="616" t="s">
        <v>96</v>
      </c>
      <c r="F83" s="385"/>
      <c r="G83" s="386"/>
      <c r="H83" s="619" t="s">
        <v>138</v>
      </c>
    </row>
    <row r="84" spans="1:8" ht="34">
      <c r="A84" s="821"/>
      <c r="B84" s="227"/>
      <c r="C84" s="613" t="s">
        <v>139</v>
      </c>
      <c r="D84" s="384"/>
      <c r="E84" s="616" t="s">
        <v>96</v>
      </c>
      <c r="F84" s="385"/>
      <c r="G84" s="386"/>
      <c r="H84" s="618" t="s">
        <v>140</v>
      </c>
    </row>
    <row r="85" spans="1:8" ht="34">
      <c r="A85" s="821"/>
      <c r="B85" s="227"/>
      <c r="C85" s="610" t="s">
        <v>141</v>
      </c>
      <c r="D85" s="384"/>
      <c r="E85" s="614" t="s">
        <v>96</v>
      </c>
      <c r="F85" s="130"/>
      <c r="G85" s="91"/>
      <c r="H85" s="617" t="s">
        <v>142</v>
      </c>
    </row>
    <row r="86" spans="1:8" ht="34">
      <c r="B86" s="227"/>
      <c r="C86" s="611" t="s">
        <v>143</v>
      </c>
      <c r="D86" s="381"/>
      <c r="E86" s="615" t="s">
        <v>96</v>
      </c>
      <c r="F86" s="382"/>
      <c r="G86" s="383"/>
      <c r="H86" s="618" t="s">
        <v>144</v>
      </c>
    </row>
    <row r="87" spans="1:8" ht="16">
      <c r="B87" s="227"/>
      <c r="C87" s="612"/>
      <c r="D87" s="313"/>
      <c r="E87" s="610"/>
      <c r="F87" s="1151"/>
      <c r="G87" s="387"/>
      <c r="H87" s="617"/>
    </row>
    <row r="88" spans="1:8" ht="34">
      <c r="B88" s="227"/>
      <c r="C88" s="613" t="s">
        <v>145</v>
      </c>
      <c r="D88" s="384"/>
      <c r="E88" s="616" t="s">
        <v>96</v>
      </c>
      <c r="F88" s="385"/>
      <c r="G88" s="386"/>
      <c r="H88" s="619" t="s">
        <v>146</v>
      </c>
    </row>
    <row r="89" spans="1:8" ht="34">
      <c r="B89" s="227"/>
      <c r="C89" s="610" t="s">
        <v>147</v>
      </c>
      <c r="D89" s="347"/>
      <c r="E89" s="614" t="s">
        <v>96</v>
      </c>
      <c r="F89" s="130"/>
      <c r="G89" s="91"/>
      <c r="H89" s="617" t="s">
        <v>148</v>
      </c>
    </row>
    <row r="90" spans="1:8" s="158" customFormat="1" ht="44">
      <c r="A90" s="626"/>
      <c r="B90" s="225" t="s">
        <v>149</v>
      </c>
      <c r="C90" s="178"/>
      <c r="D90" s="314"/>
      <c r="E90" s="178"/>
      <c r="F90" s="179"/>
      <c r="G90" s="180"/>
      <c r="H90" s="360" t="s">
        <v>150</v>
      </c>
    </row>
    <row r="91" spans="1:8" s="159" customFormat="1" ht="19">
      <c r="A91" s="627"/>
      <c r="B91" s="226" t="s">
        <v>151</v>
      </c>
      <c r="C91" s="182"/>
      <c r="D91" s="312"/>
      <c r="E91" s="183"/>
      <c r="F91" s="184"/>
      <c r="G91" s="185"/>
      <c r="H91" s="281"/>
    </row>
    <row r="92" spans="1:8" ht="17">
      <c r="B92" s="227"/>
      <c r="C92" s="41" t="s">
        <v>152</v>
      </c>
      <c r="D92" s="345"/>
      <c r="E92" s="81" t="s">
        <v>153</v>
      </c>
      <c r="F92" s="125"/>
      <c r="G92" s="72"/>
      <c r="H92" s="269" t="s">
        <v>154</v>
      </c>
    </row>
    <row r="93" spans="1:8" ht="34">
      <c r="B93" s="227"/>
      <c r="C93" s="42" t="s">
        <v>155</v>
      </c>
      <c r="D93" s="339"/>
      <c r="E93" s="83" t="s">
        <v>156</v>
      </c>
      <c r="F93" s="116"/>
      <c r="G93" s="74"/>
      <c r="H93" s="269" t="s">
        <v>157</v>
      </c>
    </row>
    <row r="94" spans="1:8" ht="16">
      <c r="B94" s="227"/>
      <c r="C94" s="1148"/>
      <c r="D94" s="1149"/>
      <c r="E94" s="1150"/>
      <c r="F94" s="1152"/>
      <c r="G94" s="1153"/>
      <c r="H94" s="269"/>
    </row>
    <row r="95" spans="1:8" ht="17">
      <c r="B95" s="227"/>
      <c r="C95" s="42" t="s">
        <v>158</v>
      </c>
      <c r="D95" s="344"/>
      <c r="E95" s="81" t="s">
        <v>153</v>
      </c>
      <c r="F95" s="116"/>
      <c r="G95" s="74"/>
      <c r="H95" s="269" t="s">
        <v>159</v>
      </c>
    </row>
    <row r="96" spans="1:8" ht="34">
      <c r="B96" s="227"/>
      <c r="C96" s="42" t="s">
        <v>160</v>
      </c>
      <c r="D96" s="339"/>
      <c r="E96" s="83" t="s">
        <v>156</v>
      </c>
      <c r="F96" s="116"/>
      <c r="G96" s="74"/>
      <c r="H96" s="269" t="s">
        <v>161</v>
      </c>
    </row>
    <row r="97" spans="1:8" ht="16">
      <c r="B97" s="227"/>
      <c r="C97" s="1148"/>
      <c r="D97" s="1155"/>
      <c r="E97" s="1150"/>
      <c r="F97" s="1157"/>
      <c r="G97" s="1154"/>
      <c r="H97" s="269"/>
    </row>
    <row r="98" spans="1:8" ht="17">
      <c r="B98" s="227"/>
      <c r="C98" s="42" t="s">
        <v>162</v>
      </c>
      <c r="D98" s="344"/>
      <c r="E98" s="81" t="s">
        <v>153</v>
      </c>
      <c r="F98" s="116"/>
      <c r="G98" s="74"/>
      <c r="H98" s="269" t="s">
        <v>163</v>
      </c>
    </row>
    <row r="99" spans="1:8" ht="34">
      <c r="B99" s="227"/>
      <c r="C99" s="35" t="s">
        <v>164</v>
      </c>
      <c r="D99" s="340"/>
      <c r="E99" s="75" t="s">
        <v>156</v>
      </c>
      <c r="F99" s="126"/>
      <c r="G99" s="76"/>
      <c r="H99" s="269" t="s">
        <v>165</v>
      </c>
    </row>
    <row r="100" spans="1:8" s="159" customFormat="1" ht="19">
      <c r="A100" s="627"/>
      <c r="B100" s="226" t="s">
        <v>166</v>
      </c>
      <c r="C100" s="182"/>
      <c r="D100" s="312"/>
      <c r="E100" s="183"/>
      <c r="F100" s="184"/>
      <c r="G100" s="185"/>
      <c r="H100" s="281"/>
    </row>
    <row r="101" spans="1:8" ht="17">
      <c r="A101" s="821"/>
      <c r="B101" s="227"/>
      <c r="C101" s="41" t="s">
        <v>167</v>
      </c>
      <c r="D101" s="345"/>
      <c r="E101" s="81" t="s">
        <v>153</v>
      </c>
      <c r="F101" s="125"/>
      <c r="G101" s="72"/>
      <c r="H101" s="269" t="s">
        <v>168</v>
      </c>
    </row>
    <row r="102" spans="1:8" ht="34">
      <c r="A102" s="821"/>
      <c r="B102" s="227"/>
      <c r="C102" s="41" t="s">
        <v>169</v>
      </c>
      <c r="D102" s="345"/>
      <c r="E102" s="81" t="s">
        <v>153</v>
      </c>
      <c r="F102" s="125"/>
      <c r="G102" s="72"/>
      <c r="H102" s="269" t="s">
        <v>170</v>
      </c>
    </row>
    <row r="103" spans="1:8" ht="17">
      <c r="A103" s="821"/>
      <c r="B103" s="227"/>
      <c r="C103" s="822" t="s">
        <v>171</v>
      </c>
      <c r="D103" s="339"/>
      <c r="E103" s="83" t="s">
        <v>156</v>
      </c>
      <c r="F103" s="116"/>
      <c r="G103" s="74"/>
      <c r="H103" s="269" t="s">
        <v>172</v>
      </c>
    </row>
    <row r="104" spans="1:8" ht="16">
      <c r="A104" s="821"/>
      <c r="B104" s="227"/>
      <c r="C104" s="1156"/>
      <c r="D104" s="1149"/>
      <c r="E104" s="1150"/>
      <c r="F104" s="1152"/>
      <c r="G104" s="1153"/>
      <c r="H104" s="269"/>
    </row>
    <row r="105" spans="1:8" ht="34">
      <c r="A105" s="821"/>
      <c r="B105" s="227"/>
      <c r="C105" s="42" t="s">
        <v>173</v>
      </c>
      <c r="D105" s="344"/>
      <c r="E105" s="81" t="s">
        <v>153</v>
      </c>
      <c r="F105" s="116"/>
      <c r="G105" s="74"/>
      <c r="H105" s="269" t="s">
        <v>174</v>
      </c>
    </row>
    <row r="106" spans="1:8" ht="34">
      <c r="A106" s="821"/>
      <c r="B106" s="227"/>
      <c r="C106" s="42" t="s">
        <v>175</v>
      </c>
      <c r="D106" s="344"/>
      <c r="E106" s="81" t="s">
        <v>153</v>
      </c>
      <c r="F106" s="116"/>
      <c r="G106" s="74"/>
      <c r="H106" s="269" t="s">
        <v>176</v>
      </c>
    </row>
    <row r="107" spans="1:8" ht="34">
      <c r="B107" s="227"/>
      <c r="C107" s="822" t="s">
        <v>177</v>
      </c>
      <c r="D107" s="339"/>
      <c r="E107" s="83" t="s">
        <v>156</v>
      </c>
      <c r="F107" s="116"/>
      <c r="G107" s="74"/>
      <c r="H107" s="269" t="s">
        <v>178</v>
      </c>
    </row>
    <row r="108" spans="1:8" ht="16">
      <c r="B108" s="227"/>
      <c r="C108" s="1156"/>
      <c r="D108" s="1155"/>
      <c r="E108" s="1150"/>
      <c r="F108" s="1157"/>
      <c r="G108" s="1154"/>
      <c r="H108" s="269"/>
    </row>
    <row r="109" spans="1:8" ht="34">
      <c r="A109" s="821"/>
      <c r="B109" s="227"/>
      <c r="C109" s="42" t="s">
        <v>179</v>
      </c>
      <c r="D109" s="344"/>
      <c r="E109" s="81" t="s">
        <v>153</v>
      </c>
      <c r="F109" s="116"/>
      <c r="G109" s="74"/>
      <c r="H109" s="269" t="s">
        <v>180</v>
      </c>
    </row>
    <row r="110" spans="1:8" ht="34">
      <c r="A110" s="821"/>
      <c r="B110" s="227"/>
      <c r="C110" s="42" t="s">
        <v>181</v>
      </c>
      <c r="D110" s="344"/>
      <c r="E110" s="81" t="s">
        <v>153</v>
      </c>
      <c r="F110" s="126"/>
      <c r="G110" s="76"/>
      <c r="H110" s="269" t="s">
        <v>182</v>
      </c>
    </row>
    <row r="111" spans="1:8" ht="34">
      <c r="B111" s="227"/>
      <c r="C111" s="823" t="s">
        <v>183</v>
      </c>
      <c r="D111" s="340"/>
      <c r="E111" s="75" t="s">
        <v>156</v>
      </c>
      <c r="F111" s="126"/>
      <c r="G111" s="76"/>
      <c r="H111" s="269" t="s">
        <v>184</v>
      </c>
    </row>
    <row r="112" spans="1:8" s="159" customFormat="1" ht="40">
      <c r="A112" s="627"/>
      <c r="B112" s="226" t="s">
        <v>185</v>
      </c>
      <c r="C112" s="182"/>
      <c r="D112" s="312"/>
      <c r="E112" s="183"/>
      <c r="F112" s="184"/>
      <c r="G112" s="185"/>
      <c r="H112" s="361" t="s">
        <v>186</v>
      </c>
    </row>
    <row r="113" spans="1:8" ht="17">
      <c r="B113" s="227"/>
      <c r="C113" s="44" t="s">
        <v>187</v>
      </c>
      <c r="D113" s="348"/>
      <c r="E113" s="86" t="s">
        <v>96</v>
      </c>
      <c r="F113" s="125"/>
      <c r="G113" s="72"/>
      <c r="H113" s="269" t="s">
        <v>188</v>
      </c>
    </row>
    <row r="114" spans="1:8" ht="17">
      <c r="B114" s="227"/>
      <c r="C114" s="45" t="s">
        <v>189</v>
      </c>
      <c r="D114" s="349"/>
      <c r="E114" s="86" t="s">
        <v>96</v>
      </c>
      <c r="F114" s="116"/>
      <c r="G114" s="74"/>
      <c r="H114" s="270" t="s">
        <v>190</v>
      </c>
    </row>
    <row r="115" spans="1:8" ht="17">
      <c r="B115" s="227"/>
      <c r="C115" s="45" t="s">
        <v>191</v>
      </c>
      <c r="D115" s="349"/>
      <c r="E115" s="86" t="s">
        <v>96</v>
      </c>
      <c r="F115" s="116"/>
      <c r="G115" s="74"/>
      <c r="H115" s="270" t="s">
        <v>192</v>
      </c>
    </row>
    <row r="116" spans="1:8" ht="17">
      <c r="B116" s="227"/>
      <c r="C116" s="45" t="s">
        <v>193</v>
      </c>
      <c r="D116" s="349"/>
      <c r="E116" s="86" t="s">
        <v>96</v>
      </c>
      <c r="F116" s="116"/>
      <c r="G116" s="74"/>
      <c r="H116" s="270" t="s">
        <v>194</v>
      </c>
    </row>
    <row r="117" spans="1:8" ht="17">
      <c r="B117" s="227"/>
      <c r="C117" s="45" t="s">
        <v>195</v>
      </c>
      <c r="D117" s="349"/>
      <c r="E117" s="86" t="s">
        <v>96</v>
      </c>
      <c r="F117" s="116"/>
      <c r="G117" s="74"/>
      <c r="H117" s="270" t="s">
        <v>196</v>
      </c>
    </row>
    <row r="118" spans="1:8" ht="17">
      <c r="B118" s="227"/>
      <c r="C118" s="45" t="s">
        <v>197</v>
      </c>
      <c r="D118" s="349"/>
      <c r="E118" s="86" t="s">
        <v>96</v>
      </c>
      <c r="F118" s="116"/>
      <c r="G118" s="74"/>
      <c r="H118" s="270" t="s">
        <v>198</v>
      </c>
    </row>
    <row r="119" spans="1:8" ht="17">
      <c r="B119" s="227"/>
      <c r="C119" s="45" t="s">
        <v>199</v>
      </c>
      <c r="D119" s="349"/>
      <c r="E119" s="86" t="s">
        <v>96</v>
      </c>
      <c r="F119" s="116"/>
      <c r="G119" s="74"/>
      <c r="H119" s="270" t="s">
        <v>200</v>
      </c>
    </row>
    <row r="120" spans="1:8" ht="17">
      <c r="B120" s="227"/>
      <c r="C120" s="45" t="s">
        <v>201</v>
      </c>
      <c r="D120" s="349"/>
      <c r="E120" s="77" t="s">
        <v>91</v>
      </c>
      <c r="F120" s="116"/>
      <c r="G120" s="74"/>
      <c r="H120" s="270" t="s">
        <v>202</v>
      </c>
    </row>
    <row r="121" spans="1:8" ht="17">
      <c r="B121" s="227"/>
      <c r="C121" s="45" t="s">
        <v>203</v>
      </c>
      <c r="D121" s="349"/>
      <c r="E121" s="86" t="s">
        <v>96</v>
      </c>
      <c r="F121" s="116"/>
      <c r="G121" s="74"/>
      <c r="H121" s="270" t="s">
        <v>204</v>
      </c>
    </row>
    <row r="122" spans="1:8" ht="17">
      <c r="B122" s="227"/>
      <c r="C122" s="46" t="s">
        <v>205</v>
      </c>
      <c r="D122" s="350"/>
      <c r="E122" s="86" t="s">
        <v>96</v>
      </c>
      <c r="F122" s="126"/>
      <c r="G122" s="76"/>
      <c r="H122" s="272" t="s">
        <v>206</v>
      </c>
    </row>
    <row r="123" spans="1:8" s="159" customFormat="1" ht="19">
      <c r="A123" s="627"/>
      <c r="B123" s="226" t="s">
        <v>207</v>
      </c>
      <c r="C123" s="186"/>
      <c r="D123" s="315"/>
      <c r="E123" s="187"/>
      <c r="F123" s="188"/>
      <c r="G123" s="189"/>
      <c r="H123" s="281"/>
    </row>
    <row r="124" spans="1:8" ht="17">
      <c r="B124" s="227"/>
      <c r="C124" s="32" t="s">
        <v>208</v>
      </c>
      <c r="D124" s="348"/>
      <c r="E124" s="86" t="s">
        <v>96</v>
      </c>
      <c r="F124" s="125"/>
      <c r="G124" s="72"/>
      <c r="H124" s="269" t="s">
        <v>209</v>
      </c>
    </row>
    <row r="125" spans="1:8" ht="17">
      <c r="B125" s="227"/>
      <c r="C125" s="47" t="s">
        <v>210</v>
      </c>
      <c r="D125" s="349"/>
      <c r="E125" s="86" t="s">
        <v>96</v>
      </c>
      <c r="F125" s="116"/>
      <c r="G125" s="74"/>
      <c r="H125" s="270" t="s">
        <v>211</v>
      </c>
    </row>
    <row r="126" spans="1:8" ht="17">
      <c r="B126" s="227"/>
      <c r="C126" s="32" t="s">
        <v>212</v>
      </c>
      <c r="D126" s="348"/>
      <c r="E126" s="86" t="s">
        <v>96</v>
      </c>
      <c r="F126" s="125"/>
      <c r="G126" s="72"/>
      <c r="H126" s="272" t="s">
        <v>213</v>
      </c>
    </row>
    <row r="127" spans="1:8" ht="17">
      <c r="B127" s="228"/>
      <c r="C127" s="47" t="s">
        <v>214</v>
      </c>
      <c r="D127" s="349"/>
      <c r="E127" s="86" t="s">
        <v>96</v>
      </c>
      <c r="F127" s="116"/>
      <c r="G127" s="74"/>
      <c r="H127" s="272" t="s">
        <v>215</v>
      </c>
    </row>
    <row r="128" spans="1:8" ht="16">
      <c r="B128" s="229"/>
      <c r="C128" s="21"/>
      <c r="D128" s="316"/>
      <c r="E128" s="22"/>
      <c r="F128" s="5"/>
      <c r="G128" s="4"/>
      <c r="H128" s="275"/>
    </row>
    <row r="129" spans="1:8" s="160" customFormat="1" ht="24">
      <c r="A129" s="628"/>
      <c r="B129" s="230" t="s">
        <v>216</v>
      </c>
      <c r="C129" s="190"/>
      <c r="D129" s="317"/>
      <c r="E129" s="190"/>
      <c r="F129" s="191"/>
      <c r="G129" s="191"/>
      <c r="H129" s="282"/>
    </row>
    <row r="130" spans="1:8" ht="289.5" customHeight="1">
      <c r="B130" s="231" t="s">
        <v>108</v>
      </c>
      <c r="C130" s="605" t="s">
        <v>217</v>
      </c>
      <c r="D130" s="318"/>
      <c r="E130" s="192"/>
      <c r="F130" s="193"/>
      <c r="G130" s="193"/>
      <c r="H130" s="643"/>
    </row>
    <row r="131" spans="1:8" s="158" customFormat="1" ht="21">
      <c r="A131" s="626"/>
      <c r="B131" s="232" t="s">
        <v>218</v>
      </c>
      <c r="C131" s="194"/>
      <c r="D131" s="319"/>
      <c r="E131" s="195"/>
      <c r="F131" s="196"/>
      <c r="G131" s="197"/>
      <c r="H131" s="283"/>
    </row>
    <row r="132" spans="1:8" s="159" customFormat="1" ht="45" thickBot="1">
      <c r="A132" s="627"/>
      <c r="B132" s="644" t="s">
        <v>219</v>
      </c>
      <c r="C132" s="198"/>
      <c r="D132" s="320"/>
      <c r="E132" s="199"/>
      <c r="F132" s="200"/>
      <c r="G132" s="201"/>
      <c r="H132" s="639" t="s">
        <v>220</v>
      </c>
    </row>
    <row r="133" spans="1:8" s="48" customFormat="1" ht="36" thickTop="1" thickBot="1">
      <c r="A133" s="821"/>
      <c r="B133" s="233"/>
      <c r="C133" s="47" t="s">
        <v>221</v>
      </c>
      <c r="D133" s="321"/>
      <c r="E133" s="92" t="s">
        <v>156</v>
      </c>
      <c r="F133" s="116"/>
      <c r="G133" s="74"/>
      <c r="H133" s="285" t="s">
        <v>222</v>
      </c>
    </row>
    <row r="134" spans="1:8" s="48" customFormat="1" ht="35" thickTop="1">
      <c r="A134" s="821"/>
      <c r="B134" s="233"/>
      <c r="C134" s="47" t="s">
        <v>223</v>
      </c>
      <c r="D134" s="351"/>
      <c r="E134" s="87" t="s">
        <v>224</v>
      </c>
      <c r="F134" s="116"/>
      <c r="G134" s="74"/>
      <c r="H134" s="285" t="s">
        <v>1870</v>
      </c>
    </row>
    <row r="135" spans="1:8" s="48" customFormat="1" ht="17" thickBot="1">
      <c r="A135" s="821"/>
      <c r="B135" s="233"/>
      <c r="C135" s="90"/>
      <c r="D135" s="322"/>
      <c r="E135" s="1168"/>
      <c r="F135" s="1169"/>
      <c r="G135" s="1166"/>
      <c r="H135" s="286"/>
    </row>
    <row r="136" spans="1:8" s="48" customFormat="1" ht="36" thickTop="1" thickBot="1">
      <c r="A136" s="821"/>
      <c r="B136" s="233"/>
      <c r="C136" s="47" t="s">
        <v>225</v>
      </c>
      <c r="D136" s="321"/>
      <c r="E136" s="92" t="s">
        <v>156</v>
      </c>
      <c r="F136" s="116"/>
      <c r="G136" s="74"/>
      <c r="H136" s="285" t="s">
        <v>226</v>
      </c>
    </row>
    <row r="137" spans="1:8" s="48" customFormat="1" ht="35" thickTop="1">
      <c r="A137" s="821"/>
      <c r="B137" s="233"/>
      <c r="C137" s="47" t="s">
        <v>227</v>
      </c>
      <c r="D137" s="351"/>
      <c r="E137" s="87" t="s">
        <v>224</v>
      </c>
      <c r="F137" s="116"/>
      <c r="G137" s="74"/>
      <c r="H137" s="285" t="s">
        <v>1869</v>
      </c>
    </row>
    <row r="138" spans="1:8" s="48" customFormat="1" ht="17" thickBot="1">
      <c r="A138" s="821"/>
      <c r="B138" s="233"/>
      <c r="C138" s="90"/>
      <c r="D138" s="322"/>
      <c r="E138" s="1168"/>
      <c r="F138" s="1167"/>
      <c r="G138" s="1166"/>
      <c r="H138" s="286"/>
    </row>
    <row r="139" spans="1:8" s="48" customFormat="1" ht="36" thickTop="1" thickBot="1">
      <c r="A139" s="821"/>
      <c r="B139" s="233"/>
      <c r="C139" s="47" t="s">
        <v>228</v>
      </c>
      <c r="D139" s="321"/>
      <c r="E139" s="92" t="s">
        <v>156</v>
      </c>
      <c r="F139" s="116"/>
      <c r="G139" s="74"/>
      <c r="H139" s="285" t="s">
        <v>229</v>
      </c>
    </row>
    <row r="140" spans="1:8" s="48" customFormat="1" ht="35" thickTop="1">
      <c r="A140" s="821"/>
      <c r="B140" s="233"/>
      <c r="C140" s="47" t="s">
        <v>230</v>
      </c>
      <c r="D140" s="351"/>
      <c r="E140" s="87" t="s">
        <v>224</v>
      </c>
      <c r="F140" s="116"/>
      <c r="G140" s="74"/>
      <c r="H140" s="285" t="s">
        <v>1871</v>
      </c>
    </row>
    <row r="141" spans="1:8" s="48" customFormat="1" ht="17" thickBot="1">
      <c r="A141" s="821"/>
      <c r="B141" s="233"/>
      <c r="C141" s="90"/>
      <c r="D141" s="323"/>
      <c r="E141" s="1168"/>
      <c r="F141" s="1169"/>
      <c r="G141" s="1166"/>
      <c r="H141" s="286"/>
    </row>
    <row r="142" spans="1:8" s="48" customFormat="1" ht="36" thickTop="1" thickBot="1">
      <c r="A142" s="821"/>
      <c r="B142" s="233"/>
      <c r="C142" s="47" t="s">
        <v>231</v>
      </c>
      <c r="D142" s="321"/>
      <c r="E142" s="87" t="s">
        <v>156</v>
      </c>
      <c r="F142" s="116"/>
      <c r="G142" s="74"/>
      <c r="H142" s="285" t="s">
        <v>232</v>
      </c>
    </row>
    <row r="143" spans="1:8" s="48" customFormat="1" ht="35" thickTop="1">
      <c r="A143" s="821"/>
      <c r="B143" s="233"/>
      <c r="C143" s="47" t="s">
        <v>233</v>
      </c>
      <c r="D143" s="352"/>
      <c r="E143" s="87" t="s">
        <v>224</v>
      </c>
      <c r="F143" s="116"/>
      <c r="G143" s="74"/>
      <c r="H143" s="285" t="s">
        <v>1872</v>
      </c>
    </row>
    <row r="144" spans="1:8" s="159" customFormat="1" ht="20" thickBot="1">
      <c r="A144" s="627"/>
      <c r="B144" s="233"/>
      <c r="C144" s="362"/>
      <c r="D144" s="363"/>
      <c r="E144" s="364"/>
      <c r="F144" s="365"/>
      <c r="G144" s="366"/>
      <c r="H144" s="367"/>
    </row>
    <row r="145" spans="1:8" s="48" customFormat="1" ht="36" thickTop="1" thickBot="1">
      <c r="A145" s="821"/>
      <c r="B145" s="233"/>
      <c r="C145" s="47" t="s">
        <v>234</v>
      </c>
      <c r="D145" s="321"/>
      <c r="E145" s="92" t="s">
        <v>156</v>
      </c>
      <c r="F145" s="116"/>
      <c r="G145" s="74"/>
      <c r="H145" s="285" t="s">
        <v>235</v>
      </c>
    </row>
    <row r="146" spans="1:8" s="48" customFormat="1" ht="35" thickTop="1">
      <c r="A146" s="821"/>
      <c r="B146" s="233"/>
      <c r="C146" s="47" t="s">
        <v>236</v>
      </c>
      <c r="D146" s="351"/>
      <c r="E146" s="87" t="s">
        <v>224</v>
      </c>
      <c r="F146" s="116"/>
      <c r="G146" s="74"/>
      <c r="H146" s="285" t="s">
        <v>1873</v>
      </c>
    </row>
    <row r="147" spans="1:8" s="48" customFormat="1" ht="34">
      <c r="A147" s="821"/>
      <c r="B147" s="233"/>
      <c r="C147" s="47" t="s">
        <v>237</v>
      </c>
      <c r="D147" s="620"/>
      <c r="E147" s="87" t="s">
        <v>238</v>
      </c>
      <c r="F147" s="116"/>
      <c r="G147" s="74"/>
      <c r="H147" s="285" t="s">
        <v>1899</v>
      </c>
    </row>
    <row r="148" spans="1:8" s="48" customFormat="1" ht="17" thickBot="1">
      <c r="A148" s="821"/>
      <c r="B148" s="233"/>
      <c r="C148" s="90"/>
      <c r="D148" s="322"/>
      <c r="E148" s="1168"/>
      <c r="F148" s="1167"/>
      <c r="G148" s="1166"/>
      <c r="H148" s="286"/>
    </row>
    <row r="149" spans="1:8" s="48" customFormat="1" ht="36" thickTop="1" thickBot="1">
      <c r="A149" s="821"/>
      <c r="B149" s="233"/>
      <c r="C149" s="47" t="s">
        <v>239</v>
      </c>
      <c r="D149" s="321"/>
      <c r="E149" s="92" t="s">
        <v>156</v>
      </c>
      <c r="F149" s="116"/>
      <c r="G149" s="74"/>
      <c r="H149" s="285" t="s">
        <v>240</v>
      </c>
    </row>
    <row r="150" spans="1:8" s="48" customFormat="1" ht="35" thickTop="1">
      <c r="A150" s="821"/>
      <c r="B150" s="233"/>
      <c r="C150" s="47" t="s">
        <v>241</v>
      </c>
      <c r="D150" s="351"/>
      <c r="E150" s="87" t="s">
        <v>224</v>
      </c>
      <c r="F150" s="116"/>
      <c r="G150" s="74"/>
      <c r="H150" s="285" t="s">
        <v>1874</v>
      </c>
    </row>
    <row r="151" spans="1:8" s="48" customFormat="1" ht="34">
      <c r="A151" s="821"/>
      <c r="B151" s="233"/>
      <c r="C151" s="47" t="s">
        <v>237</v>
      </c>
      <c r="D151" s="620"/>
      <c r="E151" s="87" t="s">
        <v>238</v>
      </c>
      <c r="F151" s="116"/>
      <c r="G151" s="74"/>
      <c r="H151" s="285" t="s">
        <v>1900</v>
      </c>
    </row>
    <row r="152" spans="1:8" s="48" customFormat="1" ht="17" thickBot="1">
      <c r="A152" s="821"/>
      <c r="B152" s="233"/>
      <c r="C152" s="1158"/>
      <c r="D152" s="1164"/>
      <c r="E152" s="1165"/>
      <c r="F152" s="1165"/>
      <c r="G152" s="1165"/>
      <c r="H152" s="288"/>
    </row>
    <row r="153" spans="1:8" s="48" customFormat="1" ht="36" thickTop="1" thickBot="1">
      <c r="A153" s="821"/>
      <c r="B153" s="233"/>
      <c r="C153" s="47" t="s">
        <v>242</v>
      </c>
      <c r="D153" s="321"/>
      <c r="E153" s="92" t="s">
        <v>156</v>
      </c>
      <c r="F153" s="116"/>
      <c r="G153" s="74"/>
      <c r="H153" s="285" t="s">
        <v>243</v>
      </c>
    </row>
    <row r="154" spans="1:8" s="48" customFormat="1" ht="35" thickTop="1">
      <c r="A154" s="821"/>
      <c r="B154" s="233"/>
      <c r="C154" s="47" t="s">
        <v>244</v>
      </c>
      <c r="D154" s="351"/>
      <c r="E154" s="87" t="s">
        <v>224</v>
      </c>
      <c r="F154" s="116"/>
      <c r="G154" s="74"/>
      <c r="H154" s="285" t="s">
        <v>1875</v>
      </c>
    </row>
    <row r="155" spans="1:8" s="48" customFormat="1" ht="17" thickBot="1">
      <c r="A155" s="821"/>
      <c r="B155" s="233"/>
      <c r="C155" s="1158"/>
      <c r="D155" s="1159"/>
      <c r="E155" s="1158"/>
      <c r="F155" s="1163"/>
      <c r="G155" s="1162"/>
      <c r="H155" s="288"/>
    </row>
    <row r="156" spans="1:8" s="48" customFormat="1" ht="36" thickTop="1" thickBot="1">
      <c r="A156" s="821"/>
      <c r="B156" s="233"/>
      <c r="C156" s="47" t="s">
        <v>245</v>
      </c>
      <c r="D156" s="321"/>
      <c r="E156" s="92" t="s">
        <v>156</v>
      </c>
      <c r="F156" s="116"/>
      <c r="G156" s="74"/>
      <c r="H156" s="285" t="s">
        <v>246</v>
      </c>
    </row>
    <row r="157" spans="1:8" s="48" customFormat="1" ht="35" thickTop="1">
      <c r="A157" s="821"/>
      <c r="B157" s="233"/>
      <c r="C157" s="47" t="s">
        <v>247</v>
      </c>
      <c r="D157" s="351"/>
      <c r="E157" s="87" t="s">
        <v>224</v>
      </c>
      <c r="F157" s="116"/>
      <c r="G157" s="74"/>
      <c r="H157" s="285" t="s">
        <v>1876</v>
      </c>
    </row>
    <row r="158" spans="1:8" s="48" customFormat="1" ht="17" thickBot="1">
      <c r="A158" s="821"/>
      <c r="B158" s="233"/>
      <c r="C158" s="1158"/>
      <c r="D158" s="1159"/>
      <c r="E158" s="1158"/>
      <c r="F158" s="1160"/>
      <c r="G158" s="1161"/>
      <c r="H158" s="288"/>
    </row>
    <row r="159" spans="1:8" s="48" customFormat="1" ht="36" thickTop="1" thickBot="1">
      <c r="A159" s="821"/>
      <c r="B159" s="233"/>
      <c r="C159" s="47" t="s">
        <v>248</v>
      </c>
      <c r="D159" s="321"/>
      <c r="E159" s="92" t="s">
        <v>156</v>
      </c>
      <c r="F159" s="116"/>
      <c r="G159" s="74"/>
      <c r="H159" s="285" t="s">
        <v>249</v>
      </c>
    </row>
    <row r="160" spans="1:8" s="48" customFormat="1" ht="35" thickTop="1">
      <c r="A160" s="821"/>
      <c r="B160" s="233"/>
      <c r="C160" s="47" t="s">
        <v>250</v>
      </c>
      <c r="D160" s="351"/>
      <c r="E160" s="87" t="s">
        <v>224</v>
      </c>
      <c r="F160" s="116"/>
      <c r="G160" s="74"/>
      <c r="H160" s="285" t="s">
        <v>1877</v>
      </c>
    </row>
    <row r="161" spans="1:8" s="159" customFormat="1" ht="20" thickBot="1">
      <c r="A161" s="627"/>
      <c r="B161" s="233"/>
      <c r="C161" s="362"/>
      <c r="D161" s="363"/>
      <c r="E161" s="364"/>
      <c r="F161" s="365"/>
      <c r="G161" s="366"/>
      <c r="H161" s="367"/>
    </row>
    <row r="162" spans="1:8" s="48" customFormat="1" ht="36" thickTop="1" thickBot="1">
      <c r="A162" s="821"/>
      <c r="B162" s="233"/>
      <c r="C162" s="47" t="s">
        <v>251</v>
      </c>
      <c r="D162" s="321"/>
      <c r="E162" s="92" t="s">
        <v>156</v>
      </c>
      <c r="F162" s="116"/>
      <c r="G162" s="74"/>
      <c r="H162" s="285" t="s">
        <v>252</v>
      </c>
    </row>
    <row r="163" spans="1:8" s="48" customFormat="1" ht="35" thickTop="1">
      <c r="A163" s="821"/>
      <c r="B163" s="233"/>
      <c r="C163" s="95" t="s">
        <v>253</v>
      </c>
      <c r="D163" s="353"/>
      <c r="E163" s="96" t="s">
        <v>224</v>
      </c>
      <c r="F163" s="126"/>
      <c r="G163" s="76"/>
      <c r="H163" s="289" t="s">
        <v>1878</v>
      </c>
    </row>
    <row r="164" spans="1:8" s="159" customFormat="1" ht="19">
      <c r="A164" s="627"/>
      <c r="B164" s="443" t="s">
        <v>254</v>
      </c>
      <c r="C164" s="198"/>
      <c r="D164" s="325"/>
      <c r="E164" s="199"/>
      <c r="F164" s="200"/>
      <c r="G164" s="201"/>
      <c r="H164" s="284"/>
    </row>
    <row r="165" spans="1:8" s="48" customFormat="1" ht="17">
      <c r="A165" s="821"/>
      <c r="B165" s="233"/>
      <c r="C165" s="100" t="s">
        <v>255</v>
      </c>
      <c r="D165" s="351"/>
      <c r="E165" s="71" t="s">
        <v>238</v>
      </c>
      <c r="F165" s="125"/>
      <c r="G165" s="72"/>
      <c r="H165" s="290" t="s">
        <v>256</v>
      </c>
    </row>
    <row r="166" spans="1:8" s="48" customFormat="1" ht="17">
      <c r="A166" s="821"/>
      <c r="B166" s="233"/>
      <c r="C166" s="50" t="s">
        <v>257</v>
      </c>
      <c r="D166" s="352"/>
      <c r="E166" s="87" t="s">
        <v>224</v>
      </c>
      <c r="F166" s="116"/>
      <c r="G166" s="74"/>
      <c r="H166" s="285" t="s">
        <v>258</v>
      </c>
    </row>
    <row r="167" spans="1:8" s="48" customFormat="1" ht="17">
      <c r="A167" s="821"/>
      <c r="B167" s="233"/>
      <c r="C167" s="50" t="s">
        <v>259</v>
      </c>
      <c r="D167" s="341"/>
      <c r="E167" s="87" t="s">
        <v>156</v>
      </c>
      <c r="F167" s="116"/>
      <c r="G167" s="74"/>
      <c r="H167" s="285" t="s">
        <v>260</v>
      </c>
    </row>
    <row r="168" spans="1:8" s="48" customFormat="1" ht="16">
      <c r="A168" s="821"/>
      <c r="B168" s="233"/>
      <c r="C168" s="49"/>
      <c r="D168" s="1173"/>
      <c r="E168" s="1172"/>
      <c r="F168" s="1171"/>
      <c r="G168" s="1170"/>
      <c r="H168" s="288"/>
    </row>
    <row r="169" spans="1:8" s="48" customFormat="1" ht="17">
      <c r="A169" s="821"/>
      <c r="B169" s="233"/>
      <c r="C169" s="50" t="s">
        <v>261</v>
      </c>
      <c r="D169" s="352"/>
      <c r="E169" s="87" t="s">
        <v>238</v>
      </c>
      <c r="F169" s="116"/>
      <c r="G169" s="74"/>
      <c r="H169" s="285" t="s">
        <v>262</v>
      </c>
    </row>
    <row r="170" spans="1:8" s="48" customFormat="1" ht="17">
      <c r="A170" s="821"/>
      <c r="B170" s="233"/>
      <c r="C170" s="50" t="s">
        <v>263</v>
      </c>
      <c r="D170" s="352"/>
      <c r="E170" s="87" t="s">
        <v>224</v>
      </c>
      <c r="F170" s="116"/>
      <c r="G170" s="74"/>
      <c r="H170" s="285" t="s">
        <v>264</v>
      </c>
    </row>
    <row r="171" spans="1:8" s="48" customFormat="1" ht="17">
      <c r="A171" s="821"/>
      <c r="B171" s="233"/>
      <c r="C171" s="97" t="s">
        <v>265</v>
      </c>
      <c r="D171" s="342"/>
      <c r="E171" s="96" t="s">
        <v>156</v>
      </c>
      <c r="F171" s="126"/>
      <c r="G171" s="76"/>
      <c r="H171" s="289" t="s">
        <v>266</v>
      </c>
    </row>
    <row r="172" spans="1:8" s="158" customFormat="1" ht="21">
      <c r="A172" s="626"/>
      <c r="B172" s="232" t="s">
        <v>267</v>
      </c>
      <c r="C172" s="194"/>
      <c r="D172" s="326"/>
      <c r="E172" s="195"/>
      <c r="F172" s="196"/>
      <c r="G172" s="197"/>
      <c r="H172" s="283"/>
    </row>
    <row r="173" spans="1:8" s="159" customFormat="1" ht="20" thickBot="1">
      <c r="A173" s="627"/>
      <c r="B173" s="444" t="s">
        <v>268</v>
      </c>
      <c r="C173" s="202"/>
      <c r="D173" s="324"/>
      <c r="E173" s="203"/>
      <c r="F173" s="204"/>
      <c r="G173" s="205"/>
      <c r="H173" s="287"/>
    </row>
    <row r="174" spans="1:8" s="48" customFormat="1" ht="36" thickTop="1" thickBot="1">
      <c r="A174" s="821"/>
      <c r="B174" s="233"/>
      <c r="C174" s="47" t="s">
        <v>269</v>
      </c>
      <c r="D174" s="321"/>
      <c r="E174" s="92" t="s">
        <v>156</v>
      </c>
      <c r="F174" s="116"/>
      <c r="G174" s="74"/>
      <c r="H174" s="285" t="s">
        <v>270</v>
      </c>
    </row>
    <row r="175" spans="1:8" s="48" customFormat="1" ht="35" thickTop="1">
      <c r="A175" s="821"/>
      <c r="B175" s="233"/>
      <c r="C175" s="47" t="s">
        <v>271</v>
      </c>
      <c r="D175" s="351"/>
      <c r="E175" s="87" t="s">
        <v>224</v>
      </c>
      <c r="F175" s="116"/>
      <c r="G175" s="74"/>
      <c r="H175" s="285" t="s">
        <v>1879</v>
      </c>
    </row>
    <row r="176" spans="1:8" s="48" customFormat="1" ht="17" thickBot="1">
      <c r="A176" s="821"/>
      <c r="B176" s="233"/>
      <c r="C176" s="90"/>
      <c r="D176" s="322"/>
      <c r="E176" s="1175"/>
      <c r="F176" s="1174"/>
      <c r="G176" s="1170"/>
      <c r="H176" s="286"/>
    </row>
    <row r="177" spans="1:8" s="48" customFormat="1" ht="36" thickTop="1" thickBot="1">
      <c r="A177" s="821"/>
      <c r="B177" s="233"/>
      <c r="C177" s="47" t="s">
        <v>272</v>
      </c>
      <c r="D177" s="321"/>
      <c r="E177" s="92" t="s">
        <v>156</v>
      </c>
      <c r="F177" s="116"/>
      <c r="G177" s="74"/>
      <c r="H177" s="285" t="s">
        <v>273</v>
      </c>
    </row>
    <row r="178" spans="1:8" s="48" customFormat="1" ht="35" thickTop="1">
      <c r="A178" s="821"/>
      <c r="B178" s="233"/>
      <c r="C178" s="47" t="s">
        <v>274</v>
      </c>
      <c r="D178" s="351"/>
      <c r="E178" s="87" t="s">
        <v>224</v>
      </c>
      <c r="F178" s="116"/>
      <c r="G178" s="74"/>
      <c r="H178" s="285" t="s">
        <v>1880</v>
      </c>
    </row>
    <row r="179" spans="1:8" s="48" customFormat="1" ht="17" thickBot="1">
      <c r="A179" s="821"/>
      <c r="B179" s="233"/>
      <c r="C179" s="90"/>
      <c r="D179" s="322"/>
      <c r="E179" s="1175"/>
      <c r="F179" s="1174"/>
      <c r="G179" s="1170"/>
      <c r="H179" s="286"/>
    </row>
    <row r="180" spans="1:8" s="48" customFormat="1" ht="36" thickTop="1" thickBot="1">
      <c r="A180" s="821"/>
      <c r="B180" s="233"/>
      <c r="C180" s="47" t="s">
        <v>275</v>
      </c>
      <c r="D180" s="321"/>
      <c r="E180" s="92" t="s">
        <v>156</v>
      </c>
      <c r="F180" s="116"/>
      <c r="G180" s="74"/>
      <c r="H180" s="285" t="s">
        <v>276</v>
      </c>
    </row>
    <row r="181" spans="1:8" s="48" customFormat="1" ht="35" thickTop="1">
      <c r="A181" s="821"/>
      <c r="B181" s="233"/>
      <c r="C181" s="47" t="s">
        <v>277</v>
      </c>
      <c r="D181" s="351"/>
      <c r="E181" s="87" t="s">
        <v>224</v>
      </c>
      <c r="F181" s="116"/>
      <c r="G181" s="74"/>
      <c r="H181" s="285" t="s">
        <v>1881</v>
      </c>
    </row>
    <row r="182" spans="1:8" s="48" customFormat="1" ht="17" thickBot="1">
      <c r="A182" s="821"/>
      <c r="B182" s="233"/>
      <c r="C182" s="90"/>
      <c r="D182" s="322"/>
      <c r="E182" s="1175"/>
      <c r="F182" s="1176"/>
      <c r="G182" s="1170"/>
      <c r="H182" s="286"/>
    </row>
    <row r="183" spans="1:8" s="48" customFormat="1" ht="36" thickTop="1" thickBot="1">
      <c r="A183" s="821"/>
      <c r="B183" s="233"/>
      <c r="C183" s="47" t="s">
        <v>278</v>
      </c>
      <c r="D183" s="321"/>
      <c r="E183" s="92" t="s">
        <v>156</v>
      </c>
      <c r="F183" s="116"/>
      <c r="G183" s="74"/>
      <c r="H183" s="285" t="s">
        <v>279</v>
      </c>
    </row>
    <row r="184" spans="1:8" s="48" customFormat="1" ht="35" thickTop="1">
      <c r="A184" s="821"/>
      <c r="B184" s="233"/>
      <c r="C184" s="47" t="s">
        <v>280</v>
      </c>
      <c r="D184" s="351"/>
      <c r="E184" s="87" t="s">
        <v>224</v>
      </c>
      <c r="F184" s="116"/>
      <c r="G184" s="74"/>
      <c r="H184" s="285" t="s">
        <v>1882</v>
      </c>
    </row>
    <row r="185" spans="1:8" s="48" customFormat="1" ht="17" thickBot="1">
      <c r="A185" s="821"/>
      <c r="B185" s="233"/>
      <c r="C185" s="90"/>
      <c r="D185" s="322"/>
      <c r="E185" s="1175"/>
      <c r="F185" s="1174"/>
      <c r="G185" s="1170"/>
      <c r="H185" s="286"/>
    </row>
    <row r="186" spans="1:8" s="48" customFormat="1" ht="36" thickTop="1" thickBot="1">
      <c r="A186" s="821"/>
      <c r="B186" s="233"/>
      <c r="C186" s="47" t="s">
        <v>281</v>
      </c>
      <c r="D186" s="321"/>
      <c r="E186" s="92" t="s">
        <v>156</v>
      </c>
      <c r="F186" s="116"/>
      <c r="G186" s="74"/>
      <c r="H186" s="285" t="s">
        <v>282</v>
      </c>
    </row>
    <row r="187" spans="1:8" s="48" customFormat="1" ht="52" thickTop="1">
      <c r="A187" s="821"/>
      <c r="B187" s="233"/>
      <c r="C187" s="47" t="s">
        <v>283</v>
      </c>
      <c r="D187" s="351"/>
      <c r="E187" s="87" t="s">
        <v>224</v>
      </c>
      <c r="F187" s="116"/>
      <c r="G187" s="74"/>
      <c r="H187" s="285" t="s">
        <v>1883</v>
      </c>
    </row>
    <row r="188" spans="1:8" s="48" customFormat="1" ht="34">
      <c r="A188" s="821"/>
      <c r="B188" s="233"/>
      <c r="C188" s="47" t="s">
        <v>284</v>
      </c>
      <c r="D188" s="620"/>
      <c r="E188" s="87" t="s">
        <v>238</v>
      </c>
      <c r="F188" s="116"/>
      <c r="G188" s="74"/>
      <c r="H188" s="285" t="s">
        <v>1899</v>
      </c>
    </row>
    <row r="189" spans="1:8" s="48" customFormat="1" ht="17" thickBot="1">
      <c r="A189" s="821"/>
      <c r="B189" s="233"/>
      <c r="C189" s="90"/>
      <c r="D189" s="322"/>
      <c r="E189" s="1175"/>
      <c r="F189" s="1174"/>
      <c r="G189" s="1170"/>
      <c r="H189" s="286"/>
    </row>
    <row r="190" spans="1:8" s="48" customFormat="1" ht="36" thickTop="1" thickBot="1">
      <c r="A190" s="821"/>
      <c r="B190" s="233"/>
      <c r="C190" s="47" t="s">
        <v>285</v>
      </c>
      <c r="D190" s="321"/>
      <c r="E190" s="92" t="s">
        <v>156</v>
      </c>
      <c r="F190" s="116"/>
      <c r="G190" s="74"/>
      <c r="H190" s="285" t="s">
        <v>286</v>
      </c>
    </row>
    <row r="191" spans="1:8" s="48" customFormat="1" ht="52" thickTop="1">
      <c r="A191" s="821"/>
      <c r="B191" s="233"/>
      <c r="C191" s="47" t="s">
        <v>287</v>
      </c>
      <c r="D191" s="351"/>
      <c r="E191" s="87" t="s">
        <v>224</v>
      </c>
      <c r="F191" s="116"/>
      <c r="G191" s="74"/>
      <c r="H191" s="285" t="s">
        <v>1884</v>
      </c>
    </row>
    <row r="192" spans="1:8" s="48" customFormat="1" ht="34">
      <c r="A192" s="821"/>
      <c r="B192" s="233"/>
      <c r="C192" s="95" t="s">
        <v>284</v>
      </c>
      <c r="D192" s="621"/>
      <c r="E192" s="96" t="s">
        <v>238</v>
      </c>
      <c r="F192" s="126"/>
      <c r="G192" s="76"/>
      <c r="H192" s="289" t="s">
        <v>1901</v>
      </c>
    </row>
    <row r="193" spans="1:8" s="48" customFormat="1" ht="17" thickBot="1">
      <c r="A193" s="821"/>
      <c r="B193" s="233"/>
      <c r="C193" s="1178"/>
      <c r="D193" s="1177"/>
      <c r="E193" s="1177"/>
      <c r="F193" s="1181"/>
      <c r="G193" s="1182"/>
      <c r="H193" s="645"/>
    </row>
    <row r="194" spans="1:8" s="48" customFormat="1" ht="36" thickTop="1" thickBot="1">
      <c r="A194" s="821"/>
      <c r="B194" s="233"/>
      <c r="C194" s="32" t="s">
        <v>288</v>
      </c>
      <c r="D194" s="321"/>
      <c r="E194" s="388" t="s">
        <v>156</v>
      </c>
      <c r="F194" s="125"/>
      <c r="G194" s="72"/>
      <c r="H194" s="290" t="s">
        <v>289</v>
      </c>
    </row>
    <row r="195" spans="1:8" s="48" customFormat="1" ht="52" thickTop="1">
      <c r="A195" s="821"/>
      <c r="B195" s="233"/>
      <c r="C195" s="47" t="s">
        <v>290</v>
      </c>
      <c r="D195" s="351"/>
      <c r="E195" s="87" t="s">
        <v>224</v>
      </c>
      <c r="F195" s="116"/>
      <c r="G195" s="74"/>
      <c r="H195" s="285" t="s">
        <v>1885</v>
      </c>
    </row>
    <row r="196" spans="1:8" s="48" customFormat="1" ht="17" thickBot="1">
      <c r="A196" s="821"/>
      <c r="B196" s="233"/>
      <c r="C196" s="1158"/>
      <c r="D196" s="1164"/>
      <c r="E196" s="1179"/>
      <c r="F196" s="1180"/>
      <c r="G196" s="1153"/>
      <c r="H196" s="288"/>
    </row>
    <row r="197" spans="1:8" s="48" customFormat="1" ht="36" thickTop="1" thickBot="1">
      <c r="A197" s="821"/>
      <c r="B197" s="233"/>
      <c r="C197" s="47" t="s">
        <v>291</v>
      </c>
      <c r="D197" s="321"/>
      <c r="E197" s="92" t="s">
        <v>156</v>
      </c>
      <c r="F197" s="116"/>
      <c r="G197" s="74"/>
      <c r="H197" s="285" t="s">
        <v>292</v>
      </c>
    </row>
    <row r="198" spans="1:8" s="48" customFormat="1" ht="52" thickTop="1">
      <c r="A198" s="821"/>
      <c r="B198" s="233"/>
      <c r="C198" s="47" t="s">
        <v>293</v>
      </c>
      <c r="D198" s="351"/>
      <c r="E198" s="87" t="s">
        <v>224</v>
      </c>
      <c r="F198" s="116"/>
      <c r="G198" s="74"/>
      <c r="H198" s="285" t="s">
        <v>1886</v>
      </c>
    </row>
    <row r="199" spans="1:8" s="48" customFormat="1" ht="17" thickBot="1">
      <c r="A199" s="821"/>
      <c r="B199" s="233"/>
      <c r="C199" s="1158"/>
      <c r="D199" s="1159"/>
      <c r="E199" s="1172"/>
      <c r="F199" s="1171"/>
      <c r="G199" s="1154"/>
      <c r="H199" s="288"/>
    </row>
    <row r="200" spans="1:8" s="48" customFormat="1" ht="36" thickTop="1" thickBot="1">
      <c r="A200" s="821"/>
      <c r="B200" s="233"/>
      <c r="C200" s="47" t="s">
        <v>294</v>
      </c>
      <c r="D200" s="321"/>
      <c r="E200" s="92" t="s">
        <v>156</v>
      </c>
      <c r="F200" s="116"/>
      <c r="G200" s="74"/>
      <c r="H200" s="285" t="s">
        <v>295</v>
      </c>
    </row>
    <row r="201" spans="1:8" s="48" customFormat="1" ht="35" thickTop="1">
      <c r="A201" s="821"/>
      <c r="B201" s="233"/>
      <c r="C201" s="47" t="s">
        <v>296</v>
      </c>
      <c r="D201" s="351"/>
      <c r="E201" s="87" t="s">
        <v>224</v>
      </c>
      <c r="F201" s="116"/>
      <c r="G201" s="74"/>
      <c r="H201" s="285" t="s">
        <v>1887</v>
      </c>
    </row>
    <row r="202" spans="1:8" s="159" customFormat="1" ht="20" thickBot="1">
      <c r="A202" s="627"/>
      <c r="B202" s="233"/>
      <c r="C202" s="362"/>
      <c r="D202" s="363"/>
      <c r="E202" s="368"/>
      <c r="F202" s="369"/>
      <c r="G202" s="366"/>
      <c r="H202" s="367"/>
    </row>
    <row r="203" spans="1:8" s="48" customFormat="1" ht="36" thickTop="1" thickBot="1">
      <c r="A203" s="821"/>
      <c r="B203" s="233"/>
      <c r="C203" s="47" t="s">
        <v>297</v>
      </c>
      <c r="D203" s="321"/>
      <c r="E203" s="92" t="s">
        <v>156</v>
      </c>
      <c r="F203" s="116"/>
      <c r="G203" s="74"/>
      <c r="H203" s="285" t="s">
        <v>298</v>
      </c>
    </row>
    <row r="204" spans="1:8" s="48" customFormat="1" ht="35" thickTop="1">
      <c r="A204" s="821"/>
      <c r="B204" s="233"/>
      <c r="C204" s="95" t="s">
        <v>299</v>
      </c>
      <c r="D204" s="353"/>
      <c r="E204" s="96" t="s">
        <v>224</v>
      </c>
      <c r="F204" s="126"/>
      <c r="G204" s="76"/>
      <c r="H204" s="289" t="s">
        <v>1888</v>
      </c>
    </row>
    <row r="205" spans="1:8" s="159" customFormat="1" ht="19">
      <c r="A205" s="627"/>
      <c r="B205" s="443" t="s">
        <v>300</v>
      </c>
      <c r="C205" s="198"/>
      <c r="D205" s="325"/>
      <c r="E205" s="199"/>
      <c r="F205" s="200"/>
      <c r="G205" s="201"/>
      <c r="H205" s="284"/>
    </row>
    <row r="206" spans="1:8" s="48" customFormat="1" ht="17">
      <c r="A206" s="821"/>
      <c r="B206" s="233"/>
      <c r="C206" s="100" t="s">
        <v>301</v>
      </c>
      <c r="D206" s="351"/>
      <c r="E206" s="71" t="s">
        <v>238</v>
      </c>
      <c r="F206" s="125"/>
      <c r="G206" s="72"/>
      <c r="H206" s="290" t="s">
        <v>256</v>
      </c>
    </row>
    <row r="207" spans="1:8" s="48" customFormat="1" ht="17">
      <c r="A207" s="821"/>
      <c r="B207" s="233"/>
      <c r="C207" s="50" t="s">
        <v>302</v>
      </c>
      <c r="D207" s="352"/>
      <c r="E207" s="87" t="s">
        <v>224</v>
      </c>
      <c r="F207" s="116"/>
      <c r="G207" s="74"/>
      <c r="H207" s="285" t="s">
        <v>303</v>
      </c>
    </row>
    <row r="208" spans="1:8" s="48" customFormat="1" ht="17">
      <c r="A208" s="821"/>
      <c r="B208" s="233"/>
      <c r="C208" s="50" t="s">
        <v>304</v>
      </c>
      <c r="D208" s="341"/>
      <c r="E208" s="87" t="s">
        <v>156</v>
      </c>
      <c r="F208" s="116"/>
      <c r="G208" s="74"/>
      <c r="H208" s="285" t="s">
        <v>260</v>
      </c>
    </row>
    <row r="209" spans="1:8" s="48" customFormat="1" ht="16">
      <c r="A209" s="821"/>
      <c r="B209" s="233"/>
      <c r="C209" s="49"/>
      <c r="D209" s="1173"/>
      <c r="E209" s="1179"/>
      <c r="F209" s="1180"/>
      <c r="G209" s="1170"/>
      <c r="H209" s="288"/>
    </row>
    <row r="210" spans="1:8" s="48" customFormat="1" ht="17">
      <c r="A210" s="821"/>
      <c r="B210" s="233"/>
      <c r="C210" s="50" t="s">
        <v>305</v>
      </c>
      <c r="D210" s="352"/>
      <c r="E210" s="87" t="s">
        <v>238</v>
      </c>
      <c r="F210" s="116"/>
      <c r="G210" s="74"/>
      <c r="H210" s="285" t="s">
        <v>262</v>
      </c>
    </row>
    <row r="211" spans="1:8" s="48" customFormat="1" ht="17">
      <c r="A211" s="821"/>
      <c r="B211" s="233"/>
      <c r="C211" s="50" t="s">
        <v>306</v>
      </c>
      <c r="D211" s="352"/>
      <c r="E211" s="87" t="s">
        <v>224</v>
      </c>
      <c r="F211" s="116"/>
      <c r="G211" s="74"/>
      <c r="H211" s="285" t="s">
        <v>307</v>
      </c>
    </row>
    <row r="212" spans="1:8" s="48" customFormat="1" ht="17">
      <c r="A212" s="821"/>
      <c r="B212" s="233"/>
      <c r="C212" s="97" t="s">
        <v>308</v>
      </c>
      <c r="D212" s="342"/>
      <c r="E212" s="96" t="s">
        <v>156</v>
      </c>
      <c r="F212" s="126"/>
      <c r="G212" s="76"/>
      <c r="H212" s="289" t="s">
        <v>266</v>
      </c>
    </row>
    <row r="213" spans="1:8" s="158" customFormat="1" ht="21">
      <c r="A213" s="626"/>
      <c r="B213" s="234" t="s">
        <v>309</v>
      </c>
      <c r="C213" s="194"/>
      <c r="D213" s="326"/>
      <c r="E213" s="195"/>
      <c r="F213" s="196"/>
      <c r="G213" s="197"/>
      <c r="H213" s="283"/>
    </row>
    <row r="214" spans="1:8" s="159" customFormat="1" ht="20" thickBot="1">
      <c r="A214" s="627"/>
      <c r="B214" s="444" t="s">
        <v>310</v>
      </c>
      <c r="C214" s="202"/>
      <c r="D214" s="324"/>
      <c r="E214" s="203"/>
      <c r="F214" s="204"/>
      <c r="G214" s="205"/>
      <c r="H214" s="287"/>
    </row>
    <row r="215" spans="1:8" s="48" customFormat="1" ht="36" thickTop="1" thickBot="1">
      <c r="A215" s="821"/>
      <c r="B215" s="233"/>
      <c r="C215" s="47" t="s">
        <v>311</v>
      </c>
      <c r="D215" s="321"/>
      <c r="E215" s="92" t="s">
        <v>156</v>
      </c>
      <c r="F215" s="116"/>
      <c r="G215" s="74"/>
      <c r="H215" s="285" t="s">
        <v>312</v>
      </c>
    </row>
    <row r="216" spans="1:8" s="48" customFormat="1" ht="35" thickTop="1">
      <c r="A216" s="821"/>
      <c r="B216" s="233"/>
      <c r="C216" s="47" t="s">
        <v>313</v>
      </c>
      <c r="D216" s="351"/>
      <c r="E216" s="87" t="s">
        <v>224</v>
      </c>
      <c r="F216" s="116"/>
      <c r="G216" s="74"/>
      <c r="H216" s="285" t="s">
        <v>1889</v>
      </c>
    </row>
    <row r="217" spans="1:8" s="48" customFormat="1" ht="17" thickBot="1">
      <c r="A217" s="821"/>
      <c r="B217" s="233"/>
      <c r="C217" s="90"/>
      <c r="D217" s="322"/>
      <c r="E217" s="1175"/>
      <c r="F217" s="1174"/>
      <c r="G217" s="1170"/>
      <c r="H217" s="286"/>
    </row>
    <row r="218" spans="1:8" s="48" customFormat="1" ht="36" thickTop="1" thickBot="1">
      <c r="A218" s="821"/>
      <c r="B218" s="233"/>
      <c r="C218" s="47" t="s">
        <v>314</v>
      </c>
      <c r="D218" s="321"/>
      <c r="E218" s="92" t="s">
        <v>156</v>
      </c>
      <c r="F218" s="116"/>
      <c r="G218" s="74"/>
      <c r="H218" s="285" t="s">
        <v>315</v>
      </c>
    </row>
    <row r="219" spans="1:8" s="48" customFormat="1" ht="35" thickTop="1">
      <c r="A219" s="821"/>
      <c r="B219" s="233"/>
      <c r="C219" s="47" t="s">
        <v>316</v>
      </c>
      <c r="D219" s="351"/>
      <c r="E219" s="87" t="s">
        <v>224</v>
      </c>
      <c r="F219" s="116"/>
      <c r="G219" s="74"/>
      <c r="H219" s="285" t="s">
        <v>1890</v>
      </c>
    </row>
    <row r="220" spans="1:8" s="48" customFormat="1" ht="17" thickBot="1">
      <c r="A220" s="821"/>
      <c r="B220" s="233"/>
      <c r="C220" s="90"/>
      <c r="D220" s="322"/>
      <c r="E220" s="1175"/>
      <c r="F220" s="1176"/>
      <c r="G220" s="1170"/>
      <c r="H220" s="286"/>
    </row>
    <row r="221" spans="1:8" s="48" customFormat="1" ht="36" thickTop="1" thickBot="1">
      <c r="A221" s="821"/>
      <c r="B221" s="233"/>
      <c r="C221" s="47" t="s">
        <v>317</v>
      </c>
      <c r="D221" s="321"/>
      <c r="E221" s="92" t="s">
        <v>156</v>
      </c>
      <c r="F221" s="116"/>
      <c r="G221" s="74"/>
      <c r="H221" s="285" t="s">
        <v>318</v>
      </c>
    </row>
    <row r="222" spans="1:8" s="48" customFormat="1" ht="35" thickTop="1">
      <c r="A222" s="821"/>
      <c r="B222" s="233"/>
      <c r="C222" s="47" t="s">
        <v>319</v>
      </c>
      <c r="D222" s="351"/>
      <c r="E222" s="87" t="s">
        <v>224</v>
      </c>
      <c r="F222" s="116"/>
      <c r="G222" s="74"/>
      <c r="H222" s="285" t="s">
        <v>1891</v>
      </c>
    </row>
    <row r="223" spans="1:8" s="48" customFormat="1" ht="17" thickBot="1">
      <c r="A223" s="821"/>
      <c r="B223" s="233"/>
      <c r="C223" s="90"/>
      <c r="D223" s="322"/>
      <c r="E223" s="1175"/>
      <c r="F223" s="1174"/>
      <c r="G223" s="1170"/>
      <c r="H223" s="286"/>
    </row>
    <row r="224" spans="1:8" s="48" customFormat="1" ht="36" thickTop="1" thickBot="1">
      <c r="A224" s="821"/>
      <c r="B224" s="233"/>
      <c r="C224" s="47" t="s">
        <v>320</v>
      </c>
      <c r="D224" s="321"/>
      <c r="E224" s="92" t="s">
        <v>156</v>
      </c>
      <c r="F224" s="116"/>
      <c r="G224" s="74"/>
      <c r="H224" s="285" t="s">
        <v>321</v>
      </c>
    </row>
    <row r="225" spans="1:8" s="48" customFormat="1" ht="35" thickTop="1">
      <c r="A225" s="821"/>
      <c r="B225" s="233"/>
      <c r="C225" s="47" t="s">
        <v>322</v>
      </c>
      <c r="D225" s="351"/>
      <c r="E225" s="87" t="s">
        <v>224</v>
      </c>
      <c r="F225" s="116"/>
      <c r="G225" s="74"/>
      <c r="H225" s="285" t="s">
        <v>1892</v>
      </c>
    </row>
    <row r="226" spans="1:8" s="159" customFormat="1" ht="20" thickBot="1">
      <c r="A226" s="627"/>
      <c r="B226" s="233"/>
      <c r="C226" s="362"/>
      <c r="D226" s="363"/>
      <c r="E226" s="364"/>
      <c r="F226" s="365"/>
      <c r="G226" s="366"/>
      <c r="H226" s="367"/>
    </row>
    <row r="227" spans="1:8" s="48" customFormat="1" ht="36" thickTop="1" thickBot="1">
      <c r="A227" s="821"/>
      <c r="B227" s="233"/>
      <c r="C227" s="47" t="s">
        <v>323</v>
      </c>
      <c r="D227" s="321"/>
      <c r="E227" s="92" t="s">
        <v>156</v>
      </c>
      <c r="F227" s="116"/>
      <c r="G227" s="74"/>
      <c r="H227" s="285" t="s">
        <v>324</v>
      </c>
    </row>
    <row r="228" spans="1:8" s="48" customFormat="1" ht="35" thickTop="1">
      <c r="A228" s="821"/>
      <c r="B228" s="233"/>
      <c r="C228" s="47" t="s">
        <v>325</v>
      </c>
      <c r="D228" s="351"/>
      <c r="E228" s="87" t="s">
        <v>224</v>
      </c>
      <c r="F228" s="116"/>
      <c r="G228" s="74"/>
      <c r="H228" s="285" t="s">
        <v>1893</v>
      </c>
    </row>
    <row r="229" spans="1:8" s="48" customFormat="1" ht="34">
      <c r="A229" s="821"/>
      <c r="B229" s="233"/>
      <c r="C229" s="47" t="s">
        <v>326</v>
      </c>
      <c r="D229" s="620"/>
      <c r="E229" s="87" t="s">
        <v>238</v>
      </c>
      <c r="F229" s="116"/>
      <c r="G229" s="74"/>
      <c r="H229" s="285" t="s">
        <v>1902</v>
      </c>
    </row>
    <row r="230" spans="1:8" s="48" customFormat="1" ht="17" thickBot="1">
      <c r="A230" s="821"/>
      <c r="B230" s="233"/>
      <c r="C230" s="90"/>
      <c r="D230" s="322"/>
      <c r="E230" s="1175"/>
      <c r="F230" s="1174"/>
      <c r="G230" s="1170"/>
      <c r="H230" s="286"/>
    </row>
    <row r="231" spans="1:8" s="48" customFormat="1" ht="36" thickTop="1" thickBot="1">
      <c r="A231" s="821"/>
      <c r="B231" s="233"/>
      <c r="C231" s="47" t="s">
        <v>327</v>
      </c>
      <c r="D231" s="321"/>
      <c r="E231" s="92" t="s">
        <v>156</v>
      </c>
      <c r="F231" s="116"/>
      <c r="G231" s="74"/>
      <c r="H231" s="285" t="s">
        <v>328</v>
      </c>
    </row>
    <row r="232" spans="1:8" s="48" customFormat="1" ht="52" thickTop="1">
      <c r="A232" s="821"/>
      <c r="B232" s="233"/>
      <c r="C232" s="47" t="s">
        <v>329</v>
      </c>
      <c r="D232" s="351"/>
      <c r="E232" s="87" t="s">
        <v>224</v>
      </c>
      <c r="F232" s="116"/>
      <c r="G232" s="74"/>
      <c r="H232" s="285" t="s">
        <v>1894</v>
      </c>
    </row>
    <row r="233" spans="1:8" s="48" customFormat="1" ht="34">
      <c r="A233" s="821"/>
      <c r="B233" s="233"/>
      <c r="C233" s="47" t="s">
        <v>326</v>
      </c>
      <c r="D233" s="620"/>
      <c r="E233" s="87" t="s">
        <v>238</v>
      </c>
      <c r="F233" s="116"/>
      <c r="G233" s="74"/>
      <c r="H233" s="285" t="s">
        <v>1903</v>
      </c>
    </row>
    <row r="234" spans="1:8" s="48" customFormat="1" ht="17" thickBot="1">
      <c r="A234" s="821"/>
      <c r="B234" s="233"/>
      <c r="C234" s="1172"/>
      <c r="D234" s="1183"/>
      <c r="E234" s="1172"/>
      <c r="F234" s="1179"/>
      <c r="G234" s="1179"/>
      <c r="H234" s="646"/>
    </row>
    <row r="235" spans="1:8" s="48" customFormat="1" ht="36" thickTop="1" thickBot="1">
      <c r="A235" s="821"/>
      <c r="B235" s="233"/>
      <c r="C235" s="47" t="s">
        <v>330</v>
      </c>
      <c r="D235" s="321"/>
      <c r="E235" s="92" t="s">
        <v>156</v>
      </c>
      <c r="F235" s="116"/>
      <c r="G235" s="74"/>
      <c r="H235" s="285" t="s">
        <v>331</v>
      </c>
    </row>
    <row r="236" spans="1:8" s="48" customFormat="1" ht="52" thickTop="1">
      <c r="A236" s="821"/>
      <c r="B236" s="233"/>
      <c r="C236" s="47" t="s">
        <v>332</v>
      </c>
      <c r="D236" s="351"/>
      <c r="E236" s="87" t="s">
        <v>224</v>
      </c>
      <c r="F236" s="116"/>
      <c r="G236" s="74"/>
      <c r="H236" s="285" t="s">
        <v>1895</v>
      </c>
    </row>
    <row r="237" spans="1:8" s="48" customFormat="1" ht="17" thickBot="1">
      <c r="A237" s="821"/>
      <c r="B237" s="233"/>
      <c r="C237" s="1158"/>
      <c r="D237" s="1159"/>
      <c r="E237" s="1172"/>
      <c r="F237" s="1171"/>
      <c r="G237" s="1154"/>
      <c r="H237" s="288"/>
    </row>
    <row r="238" spans="1:8" s="48" customFormat="1" ht="36" thickTop="1" thickBot="1">
      <c r="A238" s="821"/>
      <c r="B238" s="233"/>
      <c r="C238" s="47" t="s">
        <v>333</v>
      </c>
      <c r="D238" s="321"/>
      <c r="E238" s="92" t="s">
        <v>156</v>
      </c>
      <c r="F238" s="116"/>
      <c r="G238" s="74"/>
      <c r="H238" s="285" t="s">
        <v>334</v>
      </c>
    </row>
    <row r="239" spans="1:8" s="48" customFormat="1" ht="52" thickTop="1">
      <c r="A239" s="821"/>
      <c r="B239" s="233"/>
      <c r="C239" s="47" t="s">
        <v>335</v>
      </c>
      <c r="D239" s="351"/>
      <c r="E239" s="87" t="s">
        <v>224</v>
      </c>
      <c r="F239" s="116"/>
      <c r="G239" s="74"/>
      <c r="H239" s="285" t="s">
        <v>1896</v>
      </c>
    </row>
    <row r="240" spans="1:8" s="48" customFormat="1" ht="17" thickBot="1">
      <c r="A240" s="821"/>
      <c r="B240" s="233"/>
      <c r="C240" s="1158"/>
      <c r="D240" s="1164"/>
      <c r="E240" s="1179"/>
      <c r="F240" s="1180"/>
      <c r="G240" s="1153"/>
      <c r="H240" s="288"/>
    </row>
    <row r="241" spans="1:8" s="48" customFormat="1" ht="36" thickTop="1" thickBot="1">
      <c r="A241" s="821"/>
      <c r="B241" s="233"/>
      <c r="C241" s="47" t="s">
        <v>336</v>
      </c>
      <c r="D241" s="321"/>
      <c r="E241" s="92" t="s">
        <v>156</v>
      </c>
      <c r="F241" s="116"/>
      <c r="G241" s="74"/>
      <c r="H241" s="285" t="s">
        <v>337</v>
      </c>
    </row>
    <row r="242" spans="1:8" s="48" customFormat="1" ht="35" thickTop="1">
      <c r="A242" s="821"/>
      <c r="B242" s="233"/>
      <c r="C242" s="47" t="s">
        <v>338</v>
      </c>
      <c r="D242" s="351"/>
      <c r="E242" s="87" t="s">
        <v>224</v>
      </c>
      <c r="F242" s="116"/>
      <c r="G242" s="74"/>
      <c r="H242" s="285" t="s">
        <v>1897</v>
      </c>
    </row>
    <row r="243" spans="1:8" s="159" customFormat="1" ht="20" thickBot="1">
      <c r="A243" s="627"/>
      <c r="B243" s="233"/>
      <c r="C243" s="362"/>
      <c r="D243" s="363"/>
      <c r="E243" s="368"/>
      <c r="F243" s="369"/>
      <c r="G243" s="366"/>
      <c r="H243" s="367"/>
    </row>
    <row r="244" spans="1:8" s="48" customFormat="1" ht="36" thickTop="1" thickBot="1">
      <c r="A244" s="821"/>
      <c r="B244" s="233"/>
      <c r="C244" s="47" t="s">
        <v>339</v>
      </c>
      <c r="D244" s="321"/>
      <c r="E244" s="92" t="s">
        <v>156</v>
      </c>
      <c r="F244" s="116"/>
      <c r="G244" s="74"/>
      <c r="H244" s="285" t="s">
        <v>340</v>
      </c>
    </row>
    <row r="245" spans="1:8" s="48" customFormat="1" ht="35" thickTop="1">
      <c r="A245" s="821"/>
      <c r="B245" s="233"/>
      <c r="C245" s="95" t="s">
        <v>341</v>
      </c>
      <c r="D245" s="353"/>
      <c r="E245" s="96" t="s">
        <v>224</v>
      </c>
      <c r="F245" s="126"/>
      <c r="G245" s="76"/>
      <c r="H245" s="289" t="s">
        <v>1898</v>
      </c>
    </row>
    <row r="246" spans="1:8" s="159" customFormat="1" ht="19">
      <c r="A246" s="627"/>
      <c r="B246" s="443" t="s">
        <v>342</v>
      </c>
      <c r="C246" s="198"/>
      <c r="D246" s="325"/>
      <c r="E246" s="199"/>
      <c r="F246" s="200"/>
      <c r="G246" s="201"/>
      <c r="H246" s="284"/>
    </row>
    <row r="247" spans="1:8" s="48" customFormat="1" ht="17">
      <c r="A247" s="821"/>
      <c r="B247" s="233"/>
      <c r="C247" s="100" t="s">
        <v>343</v>
      </c>
      <c r="D247" s="351"/>
      <c r="E247" s="71" t="s">
        <v>238</v>
      </c>
      <c r="F247" s="125"/>
      <c r="G247" s="72"/>
      <c r="H247" s="290" t="s">
        <v>344</v>
      </c>
    </row>
    <row r="248" spans="1:8" s="48" customFormat="1" ht="17">
      <c r="A248" s="821"/>
      <c r="B248" s="233"/>
      <c r="C248" s="50" t="s">
        <v>345</v>
      </c>
      <c r="D248" s="352"/>
      <c r="E248" s="87" t="s">
        <v>224</v>
      </c>
      <c r="F248" s="116"/>
      <c r="G248" s="74"/>
      <c r="H248" s="285" t="s">
        <v>346</v>
      </c>
    </row>
    <row r="249" spans="1:8" s="48" customFormat="1" ht="17">
      <c r="A249" s="821"/>
      <c r="B249" s="233"/>
      <c r="C249" s="97" t="s">
        <v>347</v>
      </c>
      <c r="D249" s="342"/>
      <c r="E249" s="96" t="s">
        <v>156</v>
      </c>
      <c r="F249" s="126"/>
      <c r="G249" s="76"/>
      <c r="H249" s="289" t="s">
        <v>348</v>
      </c>
    </row>
    <row r="250" spans="1:8" s="48" customFormat="1" ht="16">
      <c r="A250" s="821"/>
      <c r="B250" s="233"/>
      <c r="C250" s="389"/>
      <c r="D250" s="1184"/>
      <c r="E250" s="1185"/>
      <c r="F250" s="390"/>
      <c r="G250" s="391"/>
      <c r="H250" s="645"/>
    </row>
    <row r="251" spans="1:8" s="48" customFormat="1" ht="17">
      <c r="A251" s="821"/>
      <c r="B251" s="233"/>
      <c r="C251" s="100" t="s">
        <v>349</v>
      </c>
      <c r="D251" s="351"/>
      <c r="E251" s="71" t="s">
        <v>238</v>
      </c>
      <c r="F251" s="125"/>
      <c r="G251" s="72"/>
      <c r="H251" s="290" t="s">
        <v>350</v>
      </c>
    </row>
    <row r="252" spans="1:8" s="48" customFormat="1" ht="17">
      <c r="A252" s="821"/>
      <c r="B252" s="233"/>
      <c r="C252" s="50" t="s">
        <v>351</v>
      </c>
      <c r="D252" s="352"/>
      <c r="E252" s="87" t="s">
        <v>224</v>
      </c>
      <c r="F252" s="116"/>
      <c r="G252" s="74"/>
      <c r="H252" s="285" t="s">
        <v>352</v>
      </c>
    </row>
    <row r="253" spans="1:8" s="48" customFormat="1" ht="17">
      <c r="A253" s="821"/>
      <c r="B253" s="233"/>
      <c r="C253" s="97" t="s">
        <v>353</v>
      </c>
      <c r="D253" s="342"/>
      <c r="E253" s="96" t="s">
        <v>156</v>
      </c>
      <c r="F253" s="126"/>
      <c r="G253" s="76"/>
      <c r="H253" s="289" t="s">
        <v>354</v>
      </c>
    </row>
    <row r="254" spans="1:8" s="376" customFormat="1" ht="21">
      <c r="A254" s="629"/>
      <c r="B254" s="234" t="s">
        <v>355</v>
      </c>
      <c r="C254" s="370"/>
      <c r="D254" s="371"/>
      <c r="E254" s="372"/>
      <c r="F254" s="373"/>
      <c r="G254" s="374"/>
      <c r="H254" s="375"/>
    </row>
    <row r="255" spans="1:8" ht="32.25" customHeight="1">
      <c r="B255" s="233"/>
      <c r="C255" s="32" t="s">
        <v>356</v>
      </c>
      <c r="D255" s="354"/>
      <c r="E255" s="86" t="s">
        <v>79</v>
      </c>
      <c r="F255" s="125"/>
      <c r="G255" s="72"/>
      <c r="H255" s="262" t="s">
        <v>357</v>
      </c>
    </row>
    <row r="256" spans="1:8" ht="58.5" customHeight="1">
      <c r="B256" s="233"/>
      <c r="C256" s="32" t="s">
        <v>358</v>
      </c>
      <c r="D256" s="354"/>
      <c r="E256" s="86" t="s">
        <v>79</v>
      </c>
      <c r="F256" s="125"/>
      <c r="G256" s="72"/>
      <c r="H256" s="262" t="s">
        <v>359</v>
      </c>
    </row>
    <row r="257" spans="1:8" ht="48" customHeight="1">
      <c r="B257" s="233"/>
      <c r="C257" s="47" t="s">
        <v>360</v>
      </c>
      <c r="D257" s="355"/>
      <c r="E257" s="77" t="s">
        <v>91</v>
      </c>
      <c r="F257" s="116"/>
      <c r="G257" s="74"/>
      <c r="H257" s="278" t="s">
        <v>361</v>
      </c>
    </row>
    <row r="258" spans="1:8" ht="17">
      <c r="B258" s="233"/>
      <c r="C258" s="47" t="s">
        <v>362</v>
      </c>
      <c r="D258" s="355"/>
      <c r="E258" s="77" t="s">
        <v>91</v>
      </c>
      <c r="F258" s="116"/>
      <c r="G258" s="74"/>
      <c r="H258" s="278" t="s">
        <v>363</v>
      </c>
    </row>
    <row r="259" spans="1:8" ht="40.5" customHeight="1">
      <c r="B259" s="233"/>
      <c r="C259" s="47" t="s">
        <v>364</v>
      </c>
      <c r="D259" s="355"/>
      <c r="E259" s="77" t="s">
        <v>91</v>
      </c>
      <c r="F259" s="116"/>
      <c r="G259" s="74"/>
      <c r="H259" s="291" t="s">
        <v>365</v>
      </c>
    </row>
    <row r="260" spans="1:8" ht="30.75" customHeight="1">
      <c r="B260" s="233"/>
      <c r="C260" s="47" t="s">
        <v>366</v>
      </c>
      <c r="D260" s="355"/>
      <c r="E260" s="88" t="s">
        <v>96</v>
      </c>
      <c r="F260" s="116"/>
      <c r="G260" s="74"/>
      <c r="H260" s="278" t="s">
        <v>367</v>
      </c>
    </row>
    <row r="261" spans="1:8" ht="17">
      <c r="B261" s="233"/>
      <c r="C261" s="47" t="s">
        <v>368</v>
      </c>
      <c r="D261" s="355"/>
      <c r="E261" s="88" t="s">
        <v>96</v>
      </c>
      <c r="F261" s="116"/>
      <c r="G261" s="74"/>
      <c r="H261" s="292" t="s">
        <v>369</v>
      </c>
    </row>
    <row r="262" spans="1:8" ht="34">
      <c r="B262" s="233"/>
      <c r="C262" s="47" t="s">
        <v>370</v>
      </c>
      <c r="D262" s="355"/>
      <c r="E262" s="88" t="s">
        <v>96</v>
      </c>
      <c r="F262" s="116"/>
      <c r="G262" s="74"/>
      <c r="H262" s="632" t="s">
        <v>371</v>
      </c>
    </row>
    <row r="263" spans="1:8" ht="34">
      <c r="B263" s="233"/>
      <c r="C263" s="47" t="s">
        <v>372</v>
      </c>
      <c r="D263" s="355"/>
      <c r="E263" s="88" t="s">
        <v>96</v>
      </c>
      <c r="F263" s="116"/>
      <c r="G263" s="74"/>
      <c r="H263" s="632" t="s">
        <v>373</v>
      </c>
    </row>
    <row r="264" spans="1:8" s="158" customFormat="1" ht="21">
      <c r="A264" s="626"/>
      <c r="B264" s="234" t="s">
        <v>374</v>
      </c>
      <c r="C264" s="194"/>
      <c r="D264" s="326"/>
      <c r="E264" s="195"/>
      <c r="F264" s="196"/>
      <c r="G264" s="197"/>
      <c r="H264" s="283"/>
    </row>
    <row r="265" spans="1:8" ht="17">
      <c r="B265" s="233"/>
      <c r="C265" s="32" t="s">
        <v>356</v>
      </c>
      <c r="D265" s="354"/>
      <c r="E265" s="86" t="s">
        <v>79</v>
      </c>
      <c r="F265" s="125"/>
      <c r="G265" s="72"/>
      <c r="H265" s="262" t="s">
        <v>375</v>
      </c>
    </row>
    <row r="266" spans="1:8" ht="17">
      <c r="B266" s="233"/>
      <c r="C266" s="32" t="s">
        <v>358</v>
      </c>
      <c r="D266" s="354"/>
      <c r="E266" s="86" t="s">
        <v>79</v>
      </c>
      <c r="F266" s="125"/>
      <c r="G266" s="72"/>
      <c r="H266" s="262" t="s">
        <v>376</v>
      </c>
    </row>
    <row r="267" spans="1:8" ht="17">
      <c r="B267" s="233"/>
      <c r="C267" s="47" t="s">
        <v>360</v>
      </c>
      <c r="D267" s="355"/>
      <c r="E267" s="77" t="s">
        <v>91</v>
      </c>
      <c r="F267" s="116"/>
      <c r="G267" s="74"/>
      <c r="H267" s="278" t="s">
        <v>377</v>
      </c>
    </row>
    <row r="268" spans="1:8" ht="17">
      <c r="B268" s="233"/>
      <c r="C268" s="47" t="s">
        <v>362</v>
      </c>
      <c r="D268" s="355"/>
      <c r="E268" s="77" t="s">
        <v>91</v>
      </c>
      <c r="F268" s="116"/>
      <c r="G268" s="74"/>
      <c r="H268" s="291" t="s">
        <v>378</v>
      </c>
    </row>
    <row r="269" spans="1:8" ht="17">
      <c r="B269" s="233"/>
      <c r="C269" s="47" t="s">
        <v>364</v>
      </c>
      <c r="D269" s="355"/>
      <c r="E269" s="77" t="s">
        <v>91</v>
      </c>
      <c r="F269" s="116"/>
      <c r="G269" s="74"/>
      <c r="H269" s="291" t="s">
        <v>379</v>
      </c>
    </row>
    <row r="270" spans="1:8" ht="17">
      <c r="B270" s="233"/>
      <c r="C270" s="47" t="s">
        <v>366</v>
      </c>
      <c r="D270" s="355"/>
      <c r="E270" s="88" t="s">
        <v>96</v>
      </c>
      <c r="F270" s="116"/>
      <c r="G270" s="74"/>
      <c r="H270" s="270" t="s">
        <v>380</v>
      </c>
    </row>
    <row r="271" spans="1:8" ht="17">
      <c r="B271" s="233"/>
      <c r="C271" s="47" t="s">
        <v>368</v>
      </c>
      <c r="D271" s="355"/>
      <c r="E271" s="98" t="s">
        <v>96</v>
      </c>
      <c r="F271" s="116"/>
      <c r="G271" s="74"/>
      <c r="H271" s="632" t="s">
        <v>381</v>
      </c>
    </row>
    <row r="272" spans="1:8" ht="34">
      <c r="B272" s="233"/>
      <c r="C272" s="47" t="s">
        <v>370</v>
      </c>
      <c r="D272" s="355"/>
      <c r="E272" s="98" t="s">
        <v>96</v>
      </c>
      <c r="F272" s="116"/>
      <c r="G272" s="74"/>
      <c r="H272" s="632" t="s">
        <v>382</v>
      </c>
    </row>
    <row r="273" spans="1:8" ht="34">
      <c r="B273" s="233"/>
      <c r="C273" s="47" t="s">
        <v>372</v>
      </c>
      <c r="D273" s="355"/>
      <c r="E273" s="98" t="s">
        <v>96</v>
      </c>
      <c r="F273" s="116"/>
      <c r="G273" s="74"/>
      <c r="H273" s="632" t="s">
        <v>383</v>
      </c>
    </row>
    <row r="274" spans="1:8" s="158" customFormat="1" ht="21">
      <c r="A274" s="626"/>
      <c r="B274" s="234" t="s">
        <v>384</v>
      </c>
      <c r="C274" s="194"/>
      <c r="D274" s="326"/>
      <c r="E274" s="195"/>
      <c r="F274" s="196"/>
      <c r="G274" s="197"/>
      <c r="H274" s="283"/>
    </row>
    <row r="275" spans="1:8" ht="34">
      <c r="B275" s="233"/>
      <c r="C275" s="38" t="s">
        <v>385</v>
      </c>
      <c r="D275" s="345"/>
      <c r="E275" s="77" t="s">
        <v>386</v>
      </c>
      <c r="F275" s="125"/>
      <c r="G275" s="72"/>
      <c r="H275" s="269" t="s">
        <v>387</v>
      </c>
    </row>
    <row r="276" spans="1:8" ht="17">
      <c r="B276" s="233"/>
      <c r="C276" s="33" t="s">
        <v>388</v>
      </c>
      <c r="D276" s="344"/>
      <c r="E276" s="73" t="s">
        <v>386</v>
      </c>
      <c r="F276" s="116"/>
      <c r="G276" s="74"/>
      <c r="H276" s="270" t="s">
        <v>389</v>
      </c>
    </row>
    <row r="277" spans="1:8" ht="34">
      <c r="B277" s="233"/>
      <c r="C277" s="33" t="s">
        <v>390</v>
      </c>
      <c r="D277" s="344"/>
      <c r="E277" s="73" t="s">
        <v>386</v>
      </c>
      <c r="F277" s="116"/>
      <c r="G277" s="74"/>
      <c r="H277" s="270" t="s">
        <v>391</v>
      </c>
    </row>
    <row r="278" spans="1:8" ht="16">
      <c r="B278" s="229"/>
      <c r="C278" s="14"/>
      <c r="D278" s="327"/>
      <c r="E278" s="14"/>
      <c r="F278" s="5"/>
      <c r="G278" s="4"/>
      <c r="H278" s="275"/>
    </row>
    <row r="279" spans="1:8" s="157" customFormat="1" ht="24">
      <c r="A279" s="625"/>
      <c r="B279" s="235" t="s">
        <v>392</v>
      </c>
      <c r="C279" s="104"/>
      <c r="D279" s="328"/>
      <c r="E279" s="105"/>
      <c r="F279" s="131"/>
      <c r="G279" s="106"/>
      <c r="H279" s="293"/>
    </row>
    <row r="280" spans="1:8" ht="17">
      <c r="B280" s="236"/>
      <c r="C280" s="137" t="s">
        <v>393</v>
      </c>
      <c r="D280" s="356"/>
      <c r="E280" s="77" t="s">
        <v>91</v>
      </c>
      <c r="F280" s="125"/>
      <c r="G280" s="72"/>
      <c r="H280" s="262" t="s">
        <v>394</v>
      </c>
    </row>
    <row r="281" spans="1:8" ht="17">
      <c r="B281" s="236"/>
      <c r="C281" s="137" t="s">
        <v>395</v>
      </c>
      <c r="D281" s="357"/>
      <c r="E281" s="77" t="s">
        <v>91</v>
      </c>
      <c r="F281" s="116"/>
      <c r="G281" s="583"/>
      <c r="H281" s="586" t="s">
        <v>396</v>
      </c>
    </row>
    <row r="282" spans="1:8" ht="17">
      <c r="B282" s="236"/>
      <c r="C282" s="137" t="s">
        <v>397</v>
      </c>
      <c r="D282" s="357"/>
      <c r="E282" s="77" t="s">
        <v>91</v>
      </c>
      <c r="F282" s="116"/>
      <c r="G282" s="584"/>
      <c r="H282" s="587" t="s">
        <v>398</v>
      </c>
    </row>
    <row r="283" spans="1:8" ht="17">
      <c r="B283" s="236"/>
      <c r="C283" s="137" t="s">
        <v>399</v>
      </c>
      <c r="D283" s="357"/>
      <c r="E283" s="77" t="s">
        <v>91</v>
      </c>
      <c r="F283" s="116"/>
      <c r="G283" s="584"/>
      <c r="H283" s="587" t="s">
        <v>400</v>
      </c>
    </row>
    <row r="284" spans="1:8" ht="34">
      <c r="B284" s="236"/>
      <c r="C284" s="579" t="s">
        <v>401</v>
      </c>
      <c r="D284" s="580"/>
      <c r="E284" s="581" t="s">
        <v>91</v>
      </c>
      <c r="F284" s="578"/>
      <c r="G284" s="582"/>
      <c r="H284" s="585" t="s">
        <v>402</v>
      </c>
    </row>
    <row r="285" spans="1:8" ht="16">
      <c r="B285" s="222"/>
      <c r="C285" s="14"/>
      <c r="D285" s="327"/>
      <c r="E285" s="14"/>
      <c r="F285" s="5"/>
      <c r="G285" s="4"/>
      <c r="H285" s="275"/>
    </row>
    <row r="286" spans="1:8" s="157" customFormat="1" ht="24">
      <c r="A286" s="625"/>
      <c r="B286" s="237" t="s">
        <v>403</v>
      </c>
      <c r="C286" s="107"/>
      <c r="D286" s="329"/>
      <c r="E286" s="108"/>
      <c r="F286" s="132"/>
      <c r="G286" s="109"/>
      <c r="H286" s="294"/>
    </row>
    <row r="287" spans="1:8" ht="219" customHeight="1">
      <c r="B287" s="238" t="s">
        <v>108</v>
      </c>
      <c r="C287" s="606" t="s">
        <v>404</v>
      </c>
      <c r="D287" s="330"/>
      <c r="E287" s="162"/>
      <c r="F287" s="51"/>
      <c r="G287" s="51"/>
      <c r="H287" s="647"/>
    </row>
    <row r="288" spans="1:8" s="161" customFormat="1" ht="22">
      <c r="A288" s="630"/>
      <c r="B288" s="239" t="s">
        <v>405</v>
      </c>
      <c r="C288" s="110"/>
      <c r="D288" s="331"/>
      <c r="E288" s="112"/>
      <c r="F288" s="133"/>
      <c r="G288" s="111"/>
      <c r="H288" s="648" t="s">
        <v>406</v>
      </c>
    </row>
    <row r="289" spans="1:8" s="159" customFormat="1" ht="20">
      <c r="A289" s="627"/>
      <c r="B289" s="240" t="s">
        <v>407</v>
      </c>
      <c r="C289" s="52"/>
      <c r="D289" s="332"/>
      <c r="E289" s="53"/>
      <c r="F289" s="134"/>
      <c r="G289" s="63"/>
      <c r="H289" s="295" t="s">
        <v>408</v>
      </c>
    </row>
    <row r="290" spans="1:8" ht="17">
      <c r="B290" s="241"/>
      <c r="C290" s="38" t="s">
        <v>409</v>
      </c>
      <c r="D290" s="343"/>
      <c r="E290" s="77" t="s">
        <v>156</v>
      </c>
      <c r="F290" s="125"/>
      <c r="G290" s="72"/>
      <c r="H290" s="269" t="s">
        <v>410</v>
      </c>
    </row>
    <row r="291" spans="1:8" ht="17">
      <c r="B291" s="241"/>
      <c r="C291" s="33" t="s">
        <v>411</v>
      </c>
      <c r="D291" s="339"/>
      <c r="E291" s="73" t="s">
        <v>156</v>
      </c>
      <c r="F291" s="116"/>
      <c r="G291" s="74"/>
      <c r="H291" s="270" t="s">
        <v>412</v>
      </c>
    </row>
    <row r="292" spans="1:8" ht="17">
      <c r="B292" s="241"/>
      <c r="C292" s="34" t="s">
        <v>413</v>
      </c>
      <c r="D292" s="340"/>
      <c r="E292" s="78" t="s">
        <v>156</v>
      </c>
      <c r="F292" s="126"/>
      <c r="G292" s="76"/>
      <c r="H292" s="272" t="s">
        <v>414</v>
      </c>
    </row>
    <row r="293" spans="1:8" s="159" customFormat="1" ht="19">
      <c r="A293" s="627"/>
      <c r="B293" s="240" t="s">
        <v>415</v>
      </c>
      <c r="C293" s="52"/>
      <c r="D293" s="332"/>
      <c r="E293" s="53"/>
      <c r="F293" s="134"/>
      <c r="G293" s="63"/>
      <c r="H293" s="295"/>
    </row>
    <row r="294" spans="1:8" ht="17">
      <c r="B294" s="241"/>
      <c r="C294" s="38" t="s">
        <v>416</v>
      </c>
      <c r="D294" s="345"/>
      <c r="E294" s="77" t="s">
        <v>96</v>
      </c>
      <c r="F294" s="125"/>
      <c r="G294" s="72"/>
      <c r="H294" s="269" t="s">
        <v>417</v>
      </c>
    </row>
    <row r="295" spans="1:8" ht="17">
      <c r="B295" s="241"/>
      <c r="C295" s="33" t="s">
        <v>418</v>
      </c>
      <c r="D295" s="344"/>
      <c r="E295" s="77" t="s">
        <v>96</v>
      </c>
      <c r="F295" s="116"/>
      <c r="G295" s="74"/>
      <c r="H295" s="270" t="s">
        <v>419</v>
      </c>
    </row>
    <row r="296" spans="1:8" ht="17">
      <c r="B296" s="241"/>
      <c r="C296" s="33" t="s">
        <v>420</v>
      </c>
      <c r="D296" s="344"/>
      <c r="E296" s="77" t="s">
        <v>96</v>
      </c>
      <c r="F296" s="116"/>
      <c r="G296" s="74"/>
      <c r="H296" s="270" t="s">
        <v>421</v>
      </c>
    </row>
    <row r="297" spans="1:8" ht="17">
      <c r="B297" s="241"/>
      <c r="C297" s="33" t="s">
        <v>422</v>
      </c>
      <c r="D297" s="344"/>
      <c r="E297" s="77" t="s">
        <v>96</v>
      </c>
      <c r="F297" s="116"/>
      <c r="G297" s="74"/>
      <c r="H297" s="270" t="s">
        <v>423</v>
      </c>
    </row>
    <row r="298" spans="1:8" ht="17">
      <c r="B298" s="241"/>
      <c r="C298" s="33" t="s">
        <v>424</v>
      </c>
      <c r="D298" s="344"/>
      <c r="E298" s="77" t="s">
        <v>96</v>
      </c>
      <c r="F298" s="116"/>
      <c r="G298" s="74"/>
      <c r="H298" s="270" t="s">
        <v>425</v>
      </c>
    </row>
    <row r="299" spans="1:8" ht="17">
      <c r="B299" s="241"/>
      <c r="C299" s="33" t="s">
        <v>426</v>
      </c>
      <c r="D299" s="344"/>
      <c r="E299" s="77" t="s">
        <v>96</v>
      </c>
      <c r="F299" s="116"/>
      <c r="G299" s="74"/>
      <c r="H299" s="270" t="s">
        <v>427</v>
      </c>
    </row>
    <row r="300" spans="1:8" ht="17">
      <c r="B300" s="241"/>
      <c r="C300" s="34" t="s">
        <v>428</v>
      </c>
      <c r="D300" s="344"/>
      <c r="E300" s="77" t="s">
        <v>96</v>
      </c>
      <c r="F300" s="126"/>
      <c r="G300" s="76"/>
      <c r="H300" s="270" t="s">
        <v>429</v>
      </c>
    </row>
    <row r="301" spans="1:8" ht="17">
      <c r="B301" s="241"/>
      <c r="C301" s="34" t="s">
        <v>430</v>
      </c>
      <c r="D301" s="344"/>
      <c r="E301" s="77" t="s">
        <v>96</v>
      </c>
      <c r="F301" s="126"/>
      <c r="G301" s="76"/>
      <c r="H301" s="272" t="s">
        <v>431</v>
      </c>
    </row>
    <row r="302" spans="1:8" s="159" customFormat="1" ht="19">
      <c r="A302" s="627"/>
      <c r="B302" s="242" t="s">
        <v>432</v>
      </c>
      <c r="C302" s="52"/>
      <c r="D302" s="332"/>
      <c r="E302" s="53"/>
      <c r="F302" s="134"/>
      <c r="G302" s="63"/>
      <c r="H302" s="295"/>
    </row>
    <row r="303" spans="1:8" ht="17">
      <c r="B303" s="241"/>
      <c r="C303" s="44" t="s">
        <v>433</v>
      </c>
      <c r="D303" s="345"/>
      <c r="E303" s="77" t="s">
        <v>434</v>
      </c>
      <c r="F303" s="125"/>
      <c r="G303" s="72"/>
      <c r="H303" s="269" t="s">
        <v>435</v>
      </c>
    </row>
    <row r="304" spans="1:8" ht="17">
      <c r="B304" s="241"/>
      <c r="C304" s="45" t="s">
        <v>436</v>
      </c>
      <c r="D304" s="344"/>
      <c r="E304" s="77" t="s">
        <v>434</v>
      </c>
      <c r="F304" s="116"/>
      <c r="G304" s="74"/>
      <c r="H304" s="270" t="s">
        <v>437</v>
      </c>
    </row>
    <row r="305" spans="1:8" ht="17">
      <c r="B305" s="241"/>
      <c r="C305" s="45" t="s">
        <v>438</v>
      </c>
      <c r="D305" s="344"/>
      <c r="E305" s="77" t="s">
        <v>434</v>
      </c>
      <c r="F305" s="116"/>
      <c r="G305" s="74"/>
      <c r="H305" s="270" t="s">
        <v>439</v>
      </c>
    </row>
    <row r="306" spans="1:8" ht="17">
      <c r="B306" s="241"/>
      <c r="C306" s="45" t="s">
        <v>440</v>
      </c>
      <c r="D306" s="344"/>
      <c r="E306" s="77" t="s">
        <v>434</v>
      </c>
      <c r="F306" s="116"/>
      <c r="G306" s="74"/>
      <c r="H306" s="270" t="s">
        <v>441</v>
      </c>
    </row>
    <row r="307" spans="1:8" ht="17">
      <c r="B307" s="241"/>
      <c r="C307" s="99" t="s">
        <v>442</v>
      </c>
      <c r="D307" s="346"/>
      <c r="E307" s="77" t="s">
        <v>434</v>
      </c>
      <c r="F307" s="126"/>
      <c r="G307" s="76"/>
      <c r="H307" s="272" t="s">
        <v>443</v>
      </c>
    </row>
    <row r="308" spans="1:8" s="161" customFormat="1" ht="22">
      <c r="A308" s="630"/>
      <c r="B308" s="239" t="s">
        <v>444</v>
      </c>
      <c r="C308" s="110"/>
      <c r="D308" s="331"/>
      <c r="E308" s="112"/>
      <c r="F308" s="133"/>
      <c r="G308" s="111"/>
      <c r="H308" s="296" t="s">
        <v>445</v>
      </c>
    </row>
    <row r="309" spans="1:8" s="159" customFormat="1" ht="19">
      <c r="A309" s="627"/>
      <c r="B309" s="242" t="s">
        <v>446</v>
      </c>
      <c r="C309" s="52"/>
      <c r="D309" s="332"/>
      <c r="E309" s="53"/>
      <c r="F309" s="134"/>
      <c r="G309" s="63"/>
      <c r="H309" s="295"/>
    </row>
    <row r="310" spans="1:8" ht="17">
      <c r="B310" s="241"/>
      <c r="C310" s="38" t="s">
        <v>447</v>
      </c>
      <c r="D310" s="343"/>
      <c r="E310" s="77" t="s">
        <v>156</v>
      </c>
      <c r="F310" s="125"/>
      <c r="G310" s="72"/>
      <c r="H310" s="269" t="s">
        <v>448</v>
      </c>
    </row>
    <row r="311" spans="1:8" ht="17">
      <c r="B311" s="241"/>
      <c r="C311" s="33" t="s">
        <v>449</v>
      </c>
      <c r="D311" s="339"/>
      <c r="E311" s="73" t="s">
        <v>156</v>
      </c>
      <c r="F311" s="116"/>
      <c r="G311" s="74"/>
      <c r="H311" s="270" t="s">
        <v>450</v>
      </c>
    </row>
    <row r="312" spans="1:8" ht="17">
      <c r="B312" s="241"/>
      <c r="C312" s="34" t="s">
        <v>451</v>
      </c>
      <c r="D312" s="340"/>
      <c r="E312" s="78" t="s">
        <v>156</v>
      </c>
      <c r="F312" s="126"/>
      <c r="G312" s="76"/>
      <c r="H312" s="272" t="s">
        <v>452</v>
      </c>
    </row>
    <row r="313" spans="1:8" s="159" customFormat="1" ht="20">
      <c r="A313" s="627"/>
      <c r="B313" s="242" t="s">
        <v>453</v>
      </c>
      <c r="C313" s="52"/>
      <c r="D313" s="332"/>
      <c r="E313" s="53"/>
      <c r="F313" s="134"/>
      <c r="G313" s="63"/>
      <c r="H313" s="295" t="s">
        <v>454</v>
      </c>
    </row>
    <row r="314" spans="1:8" ht="17">
      <c r="B314" s="241"/>
      <c r="C314" s="377" t="s">
        <v>455</v>
      </c>
      <c r="D314" s="378"/>
      <c r="E314" s="377" t="s">
        <v>91</v>
      </c>
      <c r="F314" s="379"/>
      <c r="G314" s="380"/>
      <c r="H314" s="649" t="s">
        <v>456</v>
      </c>
    </row>
    <row r="315" spans="1:8" ht="34">
      <c r="B315" s="241"/>
      <c r="C315" s="377" t="s">
        <v>457</v>
      </c>
      <c r="D315" s="378"/>
      <c r="E315" s="377" t="s">
        <v>91</v>
      </c>
      <c r="F315" s="379"/>
      <c r="G315" s="380"/>
      <c r="H315" s="649" t="s">
        <v>458</v>
      </c>
    </row>
    <row r="316" spans="1:8" ht="34">
      <c r="B316" s="241"/>
      <c r="C316" s="377" t="s">
        <v>459</v>
      </c>
      <c r="D316" s="378"/>
      <c r="E316" s="377" t="s">
        <v>91</v>
      </c>
      <c r="F316" s="379"/>
      <c r="G316" s="380"/>
      <c r="H316" s="649" t="s">
        <v>460</v>
      </c>
    </row>
    <row r="317" spans="1:8" ht="16">
      <c r="B317" s="241"/>
      <c r="C317" s="1186"/>
      <c r="D317" s="1187"/>
      <c r="E317" s="1188"/>
      <c r="F317" s="1181"/>
      <c r="G317" s="1182"/>
      <c r="H317" s="275"/>
    </row>
    <row r="318" spans="1:8" ht="17">
      <c r="B318" s="241"/>
      <c r="C318" s="377" t="s">
        <v>461</v>
      </c>
      <c r="D318" s="378"/>
      <c r="E318" s="377" t="s">
        <v>91</v>
      </c>
      <c r="F318" s="379"/>
      <c r="G318" s="380"/>
      <c r="H318" s="649" t="s">
        <v>462</v>
      </c>
    </row>
    <row r="319" spans="1:8" ht="34">
      <c r="B319" s="241"/>
      <c r="C319" s="633" t="s">
        <v>463</v>
      </c>
      <c r="D319" s="378"/>
      <c r="E319" s="377" t="s">
        <v>91</v>
      </c>
      <c r="F319" s="379"/>
      <c r="G319" s="380"/>
      <c r="H319" s="649" t="s">
        <v>464</v>
      </c>
    </row>
    <row r="320" spans="1:8" ht="34">
      <c r="B320" s="241"/>
      <c r="C320" s="633" t="s">
        <v>465</v>
      </c>
      <c r="D320" s="378"/>
      <c r="E320" s="377" t="s">
        <v>91</v>
      </c>
      <c r="F320" s="379"/>
      <c r="G320" s="380"/>
      <c r="H320" s="649" t="s">
        <v>466</v>
      </c>
    </row>
    <row r="321" spans="1:8" ht="16">
      <c r="B321" s="241"/>
      <c r="C321" s="1191"/>
      <c r="D321" s="1190"/>
      <c r="E321" s="1186"/>
      <c r="F321" s="1151"/>
      <c r="G321" s="1189"/>
      <c r="H321" s="275"/>
    </row>
    <row r="322" spans="1:8" ht="17">
      <c r="A322" s="821"/>
      <c r="B322" s="241"/>
      <c r="C322" s="633" t="s">
        <v>467</v>
      </c>
      <c r="D322" s="378"/>
      <c r="E322" s="377" t="s">
        <v>91</v>
      </c>
      <c r="F322" s="379"/>
      <c r="G322" s="380"/>
      <c r="H322" s="649" t="s">
        <v>468</v>
      </c>
    </row>
    <row r="323" spans="1:8" ht="17">
      <c r="A323" s="821"/>
      <c r="B323" s="241"/>
      <c r="C323" s="633" t="s">
        <v>469</v>
      </c>
      <c r="D323" s="378"/>
      <c r="E323" s="377" t="s">
        <v>91</v>
      </c>
      <c r="F323" s="379"/>
      <c r="G323" s="380"/>
      <c r="H323" s="649" t="s">
        <v>470</v>
      </c>
    </row>
    <row r="324" spans="1:8" ht="17">
      <c r="A324" s="821"/>
      <c r="B324" s="241"/>
      <c r="C324" s="633" t="s">
        <v>471</v>
      </c>
      <c r="D324" s="378"/>
      <c r="E324" s="377" t="s">
        <v>91</v>
      </c>
      <c r="F324" s="379"/>
      <c r="G324" s="380"/>
      <c r="H324" s="649" t="s">
        <v>472</v>
      </c>
    </row>
    <row r="325" spans="1:8" ht="16">
      <c r="B325" s="241"/>
      <c r="C325" s="1191"/>
      <c r="D325" s="1187"/>
      <c r="E325" s="1188"/>
      <c r="F325" s="1181"/>
      <c r="G325" s="1182"/>
      <c r="H325" s="275"/>
    </row>
    <row r="326" spans="1:8" ht="34">
      <c r="B326" s="241"/>
      <c r="C326" s="633" t="s">
        <v>473</v>
      </c>
      <c r="D326" s="378"/>
      <c r="E326" s="377" t="s">
        <v>91</v>
      </c>
      <c r="F326" s="379"/>
      <c r="G326" s="380"/>
      <c r="H326" s="649" t="s">
        <v>474</v>
      </c>
    </row>
    <row r="327" spans="1:8" ht="34">
      <c r="B327" s="241"/>
      <c r="C327" s="633" t="s">
        <v>475</v>
      </c>
      <c r="D327" s="378"/>
      <c r="E327" s="377" t="s">
        <v>91</v>
      </c>
      <c r="F327" s="379"/>
      <c r="G327" s="380"/>
      <c r="H327" s="649" t="s">
        <v>476</v>
      </c>
    </row>
    <row r="328" spans="1:8" ht="34">
      <c r="B328" s="241"/>
      <c r="C328" s="633" t="s">
        <v>477</v>
      </c>
      <c r="D328" s="378"/>
      <c r="E328" s="377" t="s">
        <v>91</v>
      </c>
      <c r="F328" s="379"/>
      <c r="G328" s="380"/>
      <c r="H328" s="649" t="s">
        <v>478</v>
      </c>
    </row>
    <row r="329" spans="1:8" ht="16">
      <c r="B329" s="241"/>
      <c r="C329" s="1191"/>
      <c r="D329" s="1190"/>
      <c r="E329" s="1186"/>
      <c r="F329" s="1151"/>
      <c r="G329" s="1189"/>
      <c r="H329" s="275"/>
    </row>
    <row r="330" spans="1:8" ht="34">
      <c r="B330" s="241"/>
      <c r="C330" s="633" t="s">
        <v>479</v>
      </c>
      <c r="D330" s="378"/>
      <c r="E330" s="377" t="s">
        <v>91</v>
      </c>
      <c r="F330" s="379"/>
      <c r="G330" s="380"/>
      <c r="H330" s="649" t="s">
        <v>480</v>
      </c>
    </row>
    <row r="331" spans="1:8" ht="34">
      <c r="B331" s="241"/>
      <c r="C331" s="633" t="s">
        <v>481</v>
      </c>
      <c r="D331" s="378"/>
      <c r="E331" s="377" t="s">
        <v>91</v>
      </c>
      <c r="F331" s="379"/>
      <c r="G331" s="380"/>
      <c r="H331" s="649" t="s">
        <v>482</v>
      </c>
    </row>
    <row r="332" spans="1:8" ht="34">
      <c r="B332" s="241"/>
      <c r="C332" s="633" t="s">
        <v>483</v>
      </c>
      <c r="D332" s="378"/>
      <c r="E332" s="377" t="s">
        <v>91</v>
      </c>
      <c r="F332" s="379"/>
      <c r="G332" s="380"/>
      <c r="H332" s="649" t="s">
        <v>484</v>
      </c>
    </row>
    <row r="333" spans="1:8" ht="16">
      <c r="B333" s="241"/>
      <c r="C333" s="1191"/>
      <c r="D333" s="1187"/>
      <c r="E333" s="1188"/>
      <c r="F333" s="1181"/>
      <c r="G333" s="1182"/>
      <c r="H333" s="275"/>
    </row>
    <row r="334" spans="1:8" ht="17">
      <c r="B334" s="241"/>
      <c r="C334" s="633" t="s">
        <v>485</v>
      </c>
      <c r="D334" s="378"/>
      <c r="E334" s="377" t="s">
        <v>91</v>
      </c>
      <c r="F334" s="379"/>
      <c r="G334" s="380"/>
      <c r="H334" s="649" t="s">
        <v>486</v>
      </c>
    </row>
    <row r="335" spans="1:8" ht="34">
      <c r="B335" s="241"/>
      <c r="C335" s="633" t="s">
        <v>487</v>
      </c>
      <c r="D335" s="378"/>
      <c r="E335" s="377" t="s">
        <v>91</v>
      </c>
      <c r="F335" s="379"/>
      <c r="G335" s="380"/>
      <c r="H335" s="649" t="s">
        <v>488</v>
      </c>
    </row>
    <row r="336" spans="1:8" ht="34">
      <c r="B336" s="241"/>
      <c r="C336" s="633" t="s">
        <v>489</v>
      </c>
      <c r="D336" s="378"/>
      <c r="E336" s="377" t="s">
        <v>91</v>
      </c>
      <c r="F336" s="379"/>
      <c r="G336" s="380"/>
      <c r="H336" s="649" t="s">
        <v>490</v>
      </c>
    </row>
    <row r="337" spans="1:9" ht="16">
      <c r="B337" s="241"/>
      <c r="C337" s="1191"/>
      <c r="D337" s="1190"/>
      <c r="E337" s="1186"/>
      <c r="F337" s="1151"/>
      <c r="G337" s="1189"/>
      <c r="H337" s="275"/>
    </row>
    <row r="338" spans="1:9" ht="17">
      <c r="B338" s="241"/>
      <c r="C338" s="633" t="s">
        <v>491</v>
      </c>
      <c r="D338" s="378"/>
      <c r="E338" s="377" t="s">
        <v>91</v>
      </c>
      <c r="F338" s="379"/>
      <c r="G338" s="380"/>
      <c r="H338" s="649" t="s">
        <v>492</v>
      </c>
    </row>
    <row r="339" spans="1:9" ht="34">
      <c r="B339" s="241"/>
      <c r="C339" s="633" t="s">
        <v>493</v>
      </c>
      <c r="D339" s="378"/>
      <c r="E339" s="377" t="s">
        <v>91</v>
      </c>
      <c r="F339" s="379"/>
      <c r="G339" s="380"/>
      <c r="H339" s="649" t="s">
        <v>494</v>
      </c>
    </row>
    <row r="340" spans="1:9" ht="34">
      <c r="B340" s="241"/>
      <c r="C340" s="633" t="s">
        <v>495</v>
      </c>
      <c r="D340" s="378"/>
      <c r="E340" s="377" t="s">
        <v>91</v>
      </c>
      <c r="F340" s="379"/>
      <c r="G340" s="380"/>
      <c r="H340" s="649" t="s">
        <v>496</v>
      </c>
    </row>
    <row r="341" spans="1:9" ht="16">
      <c r="B341" s="241"/>
      <c r="C341" s="1191"/>
      <c r="D341" s="1186"/>
      <c r="E341" s="1188"/>
      <c r="F341" s="1188"/>
      <c r="G341" s="1188"/>
      <c r="H341" s="650"/>
    </row>
    <row r="342" spans="1:9" ht="34">
      <c r="A342" s="821"/>
      <c r="B342" s="241"/>
      <c r="C342" s="633" t="s">
        <v>497</v>
      </c>
      <c r="D342" s="378"/>
      <c r="E342" s="377" t="s">
        <v>91</v>
      </c>
      <c r="F342" s="379"/>
      <c r="G342" s="380"/>
      <c r="H342" s="649" t="s">
        <v>498</v>
      </c>
    </row>
    <row r="343" spans="1:9" ht="34">
      <c r="A343" s="821"/>
      <c r="B343" s="241"/>
      <c r="C343" s="634" t="s">
        <v>499</v>
      </c>
      <c r="D343" s="345"/>
      <c r="E343" s="77" t="s">
        <v>91</v>
      </c>
      <c r="F343" s="125"/>
      <c r="G343" s="72"/>
      <c r="H343" s="269" t="s">
        <v>500</v>
      </c>
    </row>
    <row r="344" spans="1:9" ht="34">
      <c r="A344" s="821"/>
      <c r="B344" s="241"/>
      <c r="C344" s="633" t="s">
        <v>501</v>
      </c>
      <c r="D344" s="378"/>
      <c r="E344" s="377" t="s">
        <v>91</v>
      </c>
      <c r="F344" s="379"/>
      <c r="G344" s="380"/>
      <c r="H344" s="649" t="s">
        <v>502</v>
      </c>
    </row>
    <row r="345" spans="1:9" ht="16">
      <c r="B345" s="241"/>
      <c r="C345" s="1191"/>
      <c r="D345" s="1187"/>
      <c r="E345" s="1188"/>
      <c r="F345" s="1151"/>
      <c r="G345" s="1189"/>
      <c r="H345" s="275"/>
    </row>
    <row r="346" spans="1:9" ht="17">
      <c r="B346" s="241"/>
      <c r="C346" s="633" t="s">
        <v>503</v>
      </c>
      <c r="D346" s="378"/>
      <c r="E346" s="377" t="s">
        <v>91</v>
      </c>
      <c r="F346" s="379"/>
      <c r="G346" s="380"/>
      <c r="H346" s="649" t="s">
        <v>504</v>
      </c>
    </row>
    <row r="347" spans="1:9" ht="34">
      <c r="B347" s="241"/>
      <c r="C347" s="634" t="s">
        <v>505</v>
      </c>
      <c r="D347" s="345"/>
      <c r="E347" s="77" t="s">
        <v>91</v>
      </c>
      <c r="F347" s="125"/>
      <c r="G347" s="72"/>
      <c r="H347" s="269" t="s">
        <v>506</v>
      </c>
    </row>
    <row r="348" spans="1:9" ht="34">
      <c r="B348" s="241"/>
      <c r="C348" s="635" t="s">
        <v>507</v>
      </c>
      <c r="D348" s="346"/>
      <c r="E348" s="78" t="s">
        <v>91</v>
      </c>
      <c r="F348" s="126"/>
      <c r="G348" s="76"/>
      <c r="H348" s="275" t="s">
        <v>508</v>
      </c>
      <c r="I348" s="207"/>
    </row>
    <row r="349" spans="1:9" ht="16">
      <c r="B349" s="241"/>
      <c r="C349" s="1193"/>
      <c r="D349" s="1192"/>
      <c r="E349" s="1188"/>
      <c r="F349" s="1181"/>
      <c r="G349" s="1182"/>
      <c r="H349" s="651"/>
      <c r="I349" s="207"/>
    </row>
    <row r="350" spans="1:9" ht="34">
      <c r="B350" s="241"/>
      <c r="C350" s="634" t="s">
        <v>509</v>
      </c>
      <c r="D350" s="345"/>
      <c r="E350" s="77" t="s">
        <v>91</v>
      </c>
      <c r="F350" s="125"/>
      <c r="G350" s="72"/>
      <c r="H350" s="269" t="s">
        <v>510</v>
      </c>
    </row>
    <row r="351" spans="1:9" ht="34">
      <c r="B351" s="241"/>
      <c r="C351" s="635" t="s">
        <v>511</v>
      </c>
      <c r="D351" s="346"/>
      <c r="E351" s="78" t="s">
        <v>91</v>
      </c>
      <c r="F351" s="126"/>
      <c r="G351" s="76"/>
      <c r="H351" s="275" t="s">
        <v>512</v>
      </c>
    </row>
    <row r="352" spans="1:9" ht="34">
      <c r="B352" s="241"/>
      <c r="C352" s="633" t="s">
        <v>513</v>
      </c>
      <c r="D352" s="378"/>
      <c r="E352" s="377" t="s">
        <v>91</v>
      </c>
      <c r="F352" s="379"/>
      <c r="G352" s="380"/>
      <c r="H352" s="649" t="s">
        <v>514</v>
      </c>
      <c r="I352" s="207"/>
    </row>
    <row r="353" spans="1:9" ht="16">
      <c r="B353" s="241"/>
      <c r="C353" s="1191"/>
      <c r="D353" s="1190"/>
      <c r="E353" s="1188"/>
      <c r="F353" s="1195"/>
      <c r="G353" s="1194"/>
      <c r="H353" s="275"/>
      <c r="I353" s="207"/>
    </row>
    <row r="354" spans="1:9" ht="17">
      <c r="B354" s="241"/>
      <c r="C354" s="633" t="s">
        <v>515</v>
      </c>
      <c r="D354" s="378"/>
      <c r="E354" s="377" t="s">
        <v>91</v>
      </c>
      <c r="F354" s="379"/>
      <c r="G354" s="380"/>
      <c r="H354" s="649" t="s">
        <v>516</v>
      </c>
      <c r="I354" s="207"/>
    </row>
    <row r="355" spans="1:9" ht="17">
      <c r="B355" s="241"/>
      <c r="C355" s="633" t="s">
        <v>517</v>
      </c>
      <c r="D355" s="378"/>
      <c r="E355" s="377" t="s">
        <v>91</v>
      </c>
      <c r="F355" s="379"/>
      <c r="G355" s="380"/>
      <c r="H355" s="649" t="s">
        <v>518</v>
      </c>
      <c r="I355" s="207"/>
    </row>
    <row r="356" spans="1:9" ht="17">
      <c r="B356" s="241"/>
      <c r="C356" s="377" t="s">
        <v>519</v>
      </c>
      <c r="D356" s="378"/>
      <c r="E356" s="377" t="s">
        <v>91</v>
      </c>
      <c r="F356" s="379"/>
      <c r="G356" s="380"/>
      <c r="H356" s="649" t="s">
        <v>520</v>
      </c>
      <c r="I356" s="207"/>
    </row>
    <row r="357" spans="1:9" ht="16">
      <c r="B357" s="222"/>
      <c r="C357" s="14"/>
      <c r="D357" s="308"/>
      <c r="E357" s="14"/>
      <c r="F357" s="5"/>
      <c r="G357" s="4"/>
      <c r="H357" s="275"/>
      <c r="I357" s="207"/>
    </row>
    <row r="358" spans="1:9" s="157" customFormat="1" ht="24">
      <c r="A358" s="625"/>
      <c r="B358" s="243" t="s">
        <v>521</v>
      </c>
      <c r="C358" s="93"/>
      <c r="D358" s="333"/>
      <c r="E358" s="93"/>
      <c r="F358" s="127"/>
      <c r="G358" s="94"/>
      <c r="H358" s="297"/>
    </row>
    <row r="359" spans="1:9" s="158" customFormat="1" ht="21">
      <c r="A359" s="626"/>
      <c r="B359" s="244" t="s">
        <v>522</v>
      </c>
      <c r="C359" s="40"/>
      <c r="D359" s="334"/>
      <c r="E359" s="40"/>
      <c r="F359" s="128"/>
      <c r="G359" s="62"/>
      <c r="H359" s="298"/>
    </row>
    <row r="360" spans="1:9" ht="17">
      <c r="B360" s="245"/>
      <c r="C360" s="14" t="s">
        <v>523</v>
      </c>
      <c r="D360" s="344"/>
      <c r="E360" s="79" t="s">
        <v>29</v>
      </c>
      <c r="F360" s="129"/>
      <c r="G360" s="80"/>
      <c r="H360" s="275" t="s">
        <v>524</v>
      </c>
    </row>
    <row r="361" spans="1:9" s="158" customFormat="1" ht="21">
      <c r="A361" s="626"/>
      <c r="B361" s="244" t="s">
        <v>525</v>
      </c>
      <c r="C361" s="40"/>
      <c r="D361" s="334"/>
      <c r="E361" s="40"/>
      <c r="F361" s="128"/>
      <c r="G361" s="62"/>
      <c r="H361" s="298"/>
    </row>
    <row r="362" spans="1:9" ht="32.25" customHeight="1">
      <c r="B362" s="245"/>
      <c r="C362" s="41" t="s">
        <v>526</v>
      </c>
      <c r="D362" s="344"/>
      <c r="E362" s="81" t="s">
        <v>29</v>
      </c>
      <c r="F362" s="125"/>
      <c r="G362" s="82"/>
      <c r="H362" s="588" t="s">
        <v>527</v>
      </c>
    </row>
    <row r="363" spans="1:9" ht="28.5" customHeight="1">
      <c r="B363" s="245"/>
      <c r="C363" s="42" t="s">
        <v>528</v>
      </c>
      <c r="D363" s="344"/>
      <c r="E363" s="83" t="s">
        <v>29</v>
      </c>
      <c r="F363" s="116"/>
      <c r="G363" s="84"/>
      <c r="H363" s="589" t="s">
        <v>529</v>
      </c>
    </row>
    <row r="364" spans="1:9" ht="38.25" customHeight="1">
      <c r="B364" s="245"/>
      <c r="C364" s="35" t="s">
        <v>530</v>
      </c>
      <c r="D364" s="346"/>
      <c r="E364" s="75" t="s">
        <v>29</v>
      </c>
      <c r="F364" s="126"/>
      <c r="G364" s="85"/>
      <c r="H364" s="589" t="s">
        <v>531</v>
      </c>
    </row>
    <row r="365" spans="1:9" ht="16">
      <c r="B365" s="245"/>
      <c r="C365" s="1148"/>
      <c r="D365" s="1196"/>
      <c r="E365" s="1150"/>
      <c r="F365" s="1152"/>
      <c r="G365" s="1152"/>
      <c r="H365" s="590"/>
    </row>
    <row r="366" spans="1:9" ht="29.25" customHeight="1">
      <c r="B366" s="245"/>
      <c r="C366" s="41" t="s">
        <v>532</v>
      </c>
      <c r="D366" s="345"/>
      <c r="E366" s="81" t="s">
        <v>29</v>
      </c>
      <c r="F366" s="125"/>
      <c r="G366" s="82"/>
      <c r="H366" s="588" t="s">
        <v>533</v>
      </c>
    </row>
    <row r="367" spans="1:9" ht="36.75" customHeight="1">
      <c r="B367" s="245"/>
      <c r="C367" s="42" t="s">
        <v>534</v>
      </c>
      <c r="D367" s="344"/>
      <c r="E367" s="83" t="s">
        <v>29</v>
      </c>
      <c r="F367" s="116"/>
      <c r="G367" s="84"/>
      <c r="H367" s="589" t="s">
        <v>535</v>
      </c>
    </row>
    <row r="368" spans="1:9" ht="38.25" customHeight="1">
      <c r="B368" s="245"/>
      <c r="C368" s="591" t="s">
        <v>536</v>
      </c>
      <c r="D368" s="576"/>
      <c r="E368" s="592" t="s">
        <v>29</v>
      </c>
      <c r="F368" s="578"/>
      <c r="G368" s="593"/>
      <c r="H368" s="589" t="s">
        <v>537</v>
      </c>
    </row>
    <row r="369" spans="1:9" ht="16">
      <c r="B369" s="222"/>
      <c r="C369" s="14"/>
      <c r="D369" s="327"/>
      <c r="E369" s="14"/>
      <c r="F369" s="5"/>
      <c r="G369" s="4"/>
      <c r="H369" s="275"/>
      <c r="I369" s="207"/>
    </row>
    <row r="370" spans="1:9" s="157" customFormat="1" ht="24">
      <c r="A370" s="625"/>
      <c r="B370" s="246" t="s">
        <v>538</v>
      </c>
      <c r="C370" s="138"/>
      <c r="D370" s="335"/>
      <c r="E370" s="139"/>
      <c r="F370" s="140"/>
      <c r="G370" s="141"/>
      <c r="H370" s="299"/>
    </row>
    <row r="371" spans="1:9" ht="235.5" customHeight="1">
      <c r="B371" s="247" t="s">
        <v>108</v>
      </c>
      <c r="C371" s="640" t="s">
        <v>539</v>
      </c>
      <c r="D371" s="336"/>
      <c r="E371" s="163"/>
      <c r="F371" s="163"/>
      <c r="G371" s="163"/>
      <c r="H371" s="652"/>
    </row>
    <row r="372" spans="1:9" ht="34">
      <c r="B372" s="247"/>
      <c r="C372" s="636" t="s">
        <v>540</v>
      </c>
      <c r="D372" s="622"/>
      <c r="E372" s="77" t="s">
        <v>541</v>
      </c>
      <c r="F372" s="596"/>
      <c r="G372" s="597"/>
      <c r="H372" s="637" t="s">
        <v>542</v>
      </c>
    </row>
    <row r="373" spans="1:9" ht="17">
      <c r="B373" s="247"/>
      <c r="C373" s="38" t="s">
        <v>543</v>
      </c>
      <c r="D373" s="345"/>
      <c r="E373" s="77" t="s">
        <v>544</v>
      </c>
      <c r="F373" s="598"/>
      <c r="G373" s="599"/>
      <c r="H373" s="638" t="s">
        <v>545</v>
      </c>
    </row>
    <row r="374" spans="1:9" ht="34">
      <c r="B374" s="247"/>
      <c r="C374" s="38" t="s">
        <v>546</v>
      </c>
      <c r="D374" s="345"/>
      <c r="E374" s="77" t="s">
        <v>547</v>
      </c>
      <c r="F374" s="598"/>
      <c r="G374" s="599"/>
      <c r="H374" s="638" t="s">
        <v>548</v>
      </c>
    </row>
    <row r="375" spans="1:9" ht="34">
      <c r="B375" s="247"/>
      <c r="C375" s="38" t="s">
        <v>549</v>
      </c>
      <c r="D375" s="345"/>
      <c r="E375" s="77" t="s">
        <v>550</v>
      </c>
      <c r="F375" s="598"/>
      <c r="G375" s="599"/>
      <c r="H375" s="638" t="s">
        <v>551</v>
      </c>
    </row>
    <row r="376" spans="1:9" ht="34">
      <c r="B376" s="247"/>
      <c r="C376" s="38" t="s">
        <v>552</v>
      </c>
      <c r="D376" s="345"/>
      <c r="E376" s="77" t="s">
        <v>553</v>
      </c>
      <c r="F376" s="596"/>
      <c r="G376" s="599"/>
      <c r="H376" s="638" t="s">
        <v>554</v>
      </c>
    </row>
    <row r="377" spans="1:9" ht="34">
      <c r="B377" s="247"/>
      <c r="C377" s="594" t="s">
        <v>555</v>
      </c>
      <c r="D377" s="595"/>
      <c r="E377" s="581" t="s">
        <v>556</v>
      </c>
      <c r="F377" s="596"/>
      <c r="G377" s="597"/>
      <c r="H377" s="638" t="s">
        <v>557</v>
      </c>
    </row>
    <row r="378" spans="1:9" s="113" customFormat="1" ht="16">
      <c r="A378" s="631"/>
      <c r="B378" s="248"/>
      <c r="C378" s="114"/>
      <c r="D378" s="337"/>
      <c r="E378" s="114"/>
      <c r="F378" s="135"/>
      <c r="G378" s="115"/>
      <c r="H378" s="300"/>
    </row>
    <row r="379" spans="1:9" s="157" customFormat="1" ht="25" thickBot="1">
      <c r="A379" s="625"/>
      <c r="B379" s="249" t="s">
        <v>558</v>
      </c>
      <c r="C379" s="101"/>
      <c r="D379" s="338"/>
      <c r="E379" s="103"/>
      <c r="F379" s="136"/>
      <c r="G379" s="102"/>
      <c r="H379" s="301"/>
      <c r="I379" s="208"/>
    </row>
    <row r="380" spans="1:9" ht="18" thickBot="1">
      <c r="B380" s="250"/>
      <c r="C380" s="251" t="s">
        <v>559</v>
      </c>
      <c r="D380" s="358"/>
      <c r="E380" s="252" t="s">
        <v>386</v>
      </c>
      <c r="F380" s="253"/>
      <c r="G380" s="254"/>
      <c r="H380" s="302" t="s">
        <v>560</v>
      </c>
      <c r="I380" s="207"/>
    </row>
    <row r="381" spans="1:9" ht="16">
      <c r="E381" s="21"/>
      <c r="F381" s="64"/>
      <c r="G381" s="64"/>
      <c r="H381" s="22"/>
      <c r="I381" s="206"/>
    </row>
    <row r="393" spans="2:8" ht="16" hidden="1">
      <c r="B393" s="153"/>
      <c r="C393" s="43"/>
      <c r="D393" s="3"/>
      <c r="E393" s="43"/>
      <c r="F393" s="5"/>
      <c r="G393" s="5"/>
      <c r="H393" s="39"/>
    </row>
  </sheetData>
  <sheetProtection sheet="1" formatRows="0" insertHyperlinks="0"/>
  <mergeCells count="4">
    <mergeCell ref="C5:C6"/>
    <mergeCell ref="C9:C10"/>
    <mergeCell ref="C7:C8"/>
    <mergeCell ref="C11:C14"/>
  </mergeCells>
  <dataValidations count="16">
    <dataValidation type="date" allowBlank="1" showInputMessage="1" showErrorMessage="1" sqref="D19" xr:uid="{E55A4216-3372-4253-9A43-A74F49728E20}">
      <formula1>36526</formula1>
      <formula2>47848</formula2>
    </dataValidation>
    <dataValidation type="list" allowBlank="1" showInputMessage="1" showErrorMessage="1" sqref="F48:F52 F113:F122 F124:F128 F314:F352 F275:F278 F290:F292 F294:F301 F303:F307 F310:F312 F30:F40 F42:F45 F380 F66:F90 F255:F263 F156:F157 F133:F143 F145:F154 F159:F160 F165:F167 F186:F195 F203:F204 F197:F198 F162:F163 F169:F171 F206:F208 F210:F212 F200:F201 F174:F184 F227:F236 F244:F245 F238:F239 F247:F249 F215:F225 F241:F242 F251:F253 F280:F285 F372:F378 F393 F354:F369 F265:F273 F54:F61 F92:F99 F101:F111" xr:uid="{71088452-3F8D-4757-88C1-632F54974497}">
      <formula1>data_bas</formula1>
    </dataValidation>
    <dataValidation type="list" allowBlank="1" showErrorMessage="1" sqref="D27" xr:uid="{00000000-0002-0000-0000-000003000000}">
      <formula1>weath</formula1>
    </dataValidation>
    <dataValidation type="whole" operator="greaterThanOrEqual" allowBlank="1" showInputMessage="1" showErrorMessage="1" sqref="D20 D360 D303:D307 D362:D364 D366:D368 D30:D40 D42:D45" xr:uid="{5F9CEEEA-B7D1-4C9E-9B56-AD665211EEC2}">
      <formula1>0</formula1>
    </dataValidation>
    <dataValidation allowBlank="1" showErrorMessage="1" sqref="F361" xr:uid="{C6A6B31B-733D-4A3E-BF71-26976BF0749D}"/>
    <dataValidation type="decimal" allowBlank="1" showErrorMessage="1" sqref="D103:D104 D107:D108 D111 D96:D97 D99 D93:D94 D290:D292 D310:D312" xr:uid="{9E73B0B3-82FC-4B70-8062-D471D8B8B0BA}">
      <formula1>0</formula1>
      <formula2>1</formula2>
    </dataValidation>
    <dataValidation type="list" allowBlank="1" showInputMessage="1" showErrorMessage="1" sqref="D41 D29 D27" xr:uid="{181EBEC1-3FD2-4D05-BFE7-34AFDE81D103}">
      <formula1>ventyp</formula1>
    </dataValidation>
    <dataValidation type="list" allowBlank="1" showErrorMessage="1" sqref="F353 D100 F53 F358:F359 F100 F313" xr:uid="{00000000-0002-0000-0000-000001000000}">
      <formula1>#REF!</formula1>
    </dataValidation>
    <dataValidation type="decimal" allowBlank="1" showInputMessage="1" showErrorMessage="1" sqref="D133 D136 D139 D142 D145 D149 D153 D156 D159 D162 D171 D183 D174 D200 D203 D177 D180 D186 D190 D194 D197 D212 D224 D215 D241 D244 D218 D221 D227 D231 D235 D238 D249 D167 D208 D253" xr:uid="{DA5BD1EB-8FF5-4660-A16C-739147F9DAF1}">
      <formula1>0</formula1>
      <formula2>1</formula2>
    </dataValidation>
    <dataValidation type="decimal" operator="greaterThan" allowBlank="1" showInputMessage="1" showErrorMessage="1" sqref="D380 D372:D378" xr:uid="{053425A5-777A-4FFA-B936-66D1E2DBE0D1}">
      <formula1>0</formula1>
    </dataValidation>
    <dataValidation type="decimal" operator="greaterThanOrEqual" allowBlank="1" showInputMessage="1" showErrorMessage="1" sqref="D354:D368 D338:D344 D330:D332 D334:D336 D322:D324 D326:D328 D318:D320 D314:D316 D294:D301 D275:D277 D54:D60 D255:D263 D251:D252 D247:D248 D245 D242 D239 D236 D232:D233 D228:D229 D225 D222 D219 D216 D210:D211 D206:D207 D204 D201 D198 D195 D191:D192 D187:D188 D184 D181 D178 D175 D169:D170 D165:D166 D163 D160 D157 D154 D150:D151 D146:D147 D143 D140 D137 D134 D113:D122 D124:D127 D105:D106 D346:D352 D101:D102 D98 D95 D92 D48:D52 D280:D284 D109:D110 D265:D273 D66:D89" xr:uid="{73A37871-17A4-4F29-93C7-0BFFEDDF351B}">
      <formula1>0</formula1>
    </dataValidation>
    <dataValidation type="list" allowBlank="1" showInputMessage="1" showErrorMessage="1" sqref="D26" xr:uid="{88C1247B-AC68-4D6D-BB11-1742E5D1F373}">
      <formula1>yesno</formula1>
    </dataValidation>
    <dataValidation type="list" allowBlank="1" showInputMessage="1" showErrorMessage="1" sqref="D24" xr:uid="{F84D3190-4A30-49E0-BC21-E1252AE9E146}">
      <formula1>loctyp</formula1>
    </dataValidation>
    <dataValidation type="list" allowBlank="1" showInputMessage="1" showErrorMessage="1" sqref="D23" xr:uid="{F69C5681-11C7-42E3-8D7C-36595C83BC57}">
      <formula1>opcl</formula1>
    </dataValidation>
    <dataValidation type="list" allowBlank="1" showInputMessage="1" showErrorMessage="1" sqref="D25" xr:uid="{FB8E2E88-E7F8-4843-9BC2-A187273D55AC}">
      <formula1>indout</formula1>
    </dataValidation>
    <dataValidation type="decimal" allowBlank="1" showInputMessage="1" showErrorMessage="1" sqref="D28" xr:uid="{63F9BFF8-ADF7-4EF0-B8FC-FAEE4B95646C}">
      <formula1>-50</formula1>
      <formula2>60</formula2>
    </dataValidation>
  </dataValidations>
  <pageMargins left="0.7" right="0.7" top="0.75" bottom="0.75" header="0" footer="0"/>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0" id="{9709EF39-4224-4211-859D-FD6F07792A29}">
            <xm:f>Lists!$D$29=1</xm:f>
            <x14:dxf>
              <fill>
                <patternFill patternType="solid">
                  <bgColor theme="9" tint="0.59996337778862885"/>
                </patternFill>
              </fill>
            </x14:dxf>
          </x14:cfRule>
          <x14:cfRule type="expression" priority="29" id="{8621130F-799E-47F6-BB9D-E49188140583}">
            <xm:f>Lists!$D$29&lt;&gt;1</xm:f>
            <x14:dxf>
              <fill>
                <patternFill>
                  <bgColor theme="5" tint="0.79998168889431442"/>
                </patternFill>
              </fill>
            </x14:dxf>
          </x14:cfRule>
          <xm:sqref>D133</xm:sqref>
        </x14:conditionalFormatting>
        <x14:conditionalFormatting xmlns:xm="http://schemas.microsoft.com/office/excel/2006/main">
          <x14:cfRule type="expression" priority="28" id="{A0F0D579-B0F3-4BD7-BA5C-E3BAD24A3663}">
            <xm:f>Lists!$D$29=1</xm:f>
            <x14:dxf>
              <fill>
                <patternFill patternType="solid">
                  <bgColor theme="9" tint="0.59996337778862885"/>
                </patternFill>
              </fill>
            </x14:dxf>
          </x14:cfRule>
          <x14:cfRule type="expression" priority="27" id="{03587D69-1F9D-452A-A5F8-9791E7170987}">
            <xm:f>Lists!$D$29&lt;&gt;1</xm:f>
            <x14:dxf>
              <fill>
                <patternFill>
                  <bgColor theme="5" tint="0.79998168889431442"/>
                </patternFill>
              </fill>
            </x14:dxf>
          </x14:cfRule>
          <xm:sqref>D136</xm:sqref>
        </x14:conditionalFormatting>
        <x14:conditionalFormatting xmlns:xm="http://schemas.microsoft.com/office/excel/2006/main">
          <x14:cfRule type="expression" priority="26" id="{C7630BAE-2765-4166-B129-2EBDB43A2420}">
            <xm:f>Lists!$D$29=1</xm:f>
            <x14:dxf>
              <fill>
                <patternFill patternType="solid">
                  <bgColor theme="9" tint="0.59996337778862885"/>
                </patternFill>
              </fill>
            </x14:dxf>
          </x14:cfRule>
          <x14:cfRule type="expression" priority="25" id="{633B7DDE-B3D5-4665-B7DA-E7FE7032E7A0}">
            <xm:f>Lists!$D$29&lt;&gt;1</xm:f>
            <x14:dxf>
              <fill>
                <patternFill>
                  <bgColor theme="5" tint="0.79998168889431442"/>
                </patternFill>
              </fill>
            </x14:dxf>
          </x14:cfRule>
          <xm:sqref>D139</xm:sqref>
        </x14:conditionalFormatting>
        <x14:conditionalFormatting xmlns:xm="http://schemas.microsoft.com/office/excel/2006/main">
          <x14:cfRule type="expression" priority="1" id="{3DEFA7E4-051F-654A-A3DE-52C81FD5C23B}">
            <xm:f>Lists!$D$29&lt;&gt;1</xm:f>
            <x14:dxf>
              <fill>
                <patternFill>
                  <bgColor theme="5" tint="0.79998168889431442"/>
                </patternFill>
              </fill>
            </x14:dxf>
          </x14:cfRule>
          <x14:cfRule type="expression" priority="2" id="{BD84BFF9-1BAA-FE41-8599-ED2DCDAC88C4}">
            <xm:f>Lists!$D$29=1</xm:f>
            <x14:dxf>
              <fill>
                <patternFill patternType="solid">
                  <bgColor theme="9" tint="0.59996337778862885"/>
                </patternFill>
              </fill>
            </x14:dxf>
          </x14:cfRule>
          <xm:sqref>D142</xm:sqref>
        </x14:conditionalFormatting>
        <x14:conditionalFormatting xmlns:xm="http://schemas.microsoft.com/office/excel/2006/main">
          <x14:cfRule type="expression" priority="21" id="{7D01B9D4-A4DA-46A7-9086-62EBD2D78ED9}">
            <xm:f>Lists!$D$29&lt;&gt;1</xm:f>
            <x14:dxf>
              <fill>
                <patternFill>
                  <bgColor theme="5" tint="0.79998168889431442"/>
                </patternFill>
              </fill>
            </x14:dxf>
          </x14:cfRule>
          <x14:cfRule type="expression" priority="22" id="{7F0005E8-43C4-4B2D-845B-5BD6AA6CEAF8}">
            <xm:f>Lists!$D$29=1</xm:f>
            <x14:dxf>
              <fill>
                <patternFill patternType="solid">
                  <bgColor theme="9" tint="0.59996337778862885"/>
                </patternFill>
              </fill>
            </x14:dxf>
          </x14:cfRule>
          <xm:sqref>D145</xm:sqref>
        </x14:conditionalFormatting>
        <x14:conditionalFormatting xmlns:xm="http://schemas.microsoft.com/office/excel/2006/main">
          <x14:cfRule type="expression" priority="19" id="{BC6E7D0E-B27E-404C-9707-78B31F203263}">
            <xm:f>Lists!$D$29&lt;&gt;1</xm:f>
            <x14:dxf>
              <fill>
                <patternFill>
                  <bgColor theme="5" tint="0.79998168889431442"/>
                </patternFill>
              </fill>
            </x14:dxf>
          </x14:cfRule>
          <x14:cfRule type="expression" priority="20" id="{A2B045C9-64E9-44DB-A6BC-4FC4BC4AD4EE}">
            <xm:f>Lists!$D$29=1</xm:f>
            <x14:dxf>
              <fill>
                <patternFill patternType="solid">
                  <bgColor theme="9" tint="0.59996337778862885"/>
                </patternFill>
              </fill>
            </x14:dxf>
          </x14:cfRule>
          <xm:sqref>D149</xm:sqref>
        </x14:conditionalFormatting>
        <x14:conditionalFormatting xmlns:xm="http://schemas.microsoft.com/office/excel/2006/main">
          <x14:cfRule type="expression" priority="17" id="{49CE3551-CF2B-4A3A-B8B1-FADCF2BC22D6}">
            <xm:f>Lists!$D$29&lt;&gt;1</xm:f>
            <x14:dxf>
              <fill>
                <patternFill>
                  <bgColor theme="5" tint="0.79998168889431442"/>
                </patternFill>
              </fill>
            </x14:dxf>
          </x14:cfRule>
          <x14:cfRule type="expression" priority="18" id="{ED6A98F2-FC4B-4C46-B24F-F785BFBB8421}">
            <xm:f>Lists!$D$29=1</xm:f>
            <x14:dxf>
              <fill>
                <patternFill patternType="solid">
                  <bgColor theme="9" tint="0.59996337778862885"/>
                </patternFill>
              </fill>
            </x14:dxf>
          </x14:cfRule>
          <xm:sqref>D153</xm:sqref>
        </x14:conditionalFormatting>
        <x14:conditionalFormatting xmlns:xm="http://schemas.microsoft.com/office/excel/2006/main">
          <x14:cfRule type="expression" priority="16" id="{9DDEE178-3C1D-446D-9F7B-E7C6AB08E53E}">
            <xm:f>Lists!$D$29=1</xm:f>
            <x14:dxf>
              <fill>
                <patternFill patternType="solid">
                  <bgColor theme="9" tint="0.59996337778862885"/>
                </patternFill>
              </fill>
            </x14:dxf>
          </x14:cfRule>
          <x14:cfRule type="expression" priority="15" id="{637A3E80-16FC-4BC5-9F9C-F29EA8F8F224}">
            <xm:f>Lists!$D$29&lt;&gt;1</xm:f>
            <x14:dxf>
              <fill>
                <patternFill>
                  <bgColor theme="5" tint="0.79998168889431442"/>
                </patternFill>
              </fill>
            </x14:dxf>
          </x14:cfRule>
          <xm:sqref>D156</xm:sqref>
        </x14:conditionalFormatting>
        <x14:conditionalFormatting xmlns:xm="http://schemas.microsoft.com/office/excel/2006/main">
          <x14:cfRule type="expression" priority="13" id="{3AC37B26-9ED3-4354-A656-6912D9A030AA}">
            <xm:f>Lists!$D$29&lt;&gt;1</xm:f>
            <x14:dxf>
              <fill>
                <patternFill>
                  <bgColor theme="5" tint="0.79998168889431442"/>
                </patternFill>
              </fill>
            </x14:dxf>
          </x14:cfRule>
          <x14:cfRule type="expression" priority="14" id="{8146CBAB-9732-4603-9AD5-E7E0951095A9}">
            <xm:f>Lists!$D$29=1</xm:f>
            <x14:dxf>
              <fill>
                <patternFill patternType="solid">
                  <bgColor theme="9" tint="0.59996337778862885"/>
                </patternFill>
              </fill>
            </x14:dxf>
          </x14:cfRule>
          <xm:sqref>D159</xm:sqref>
        </x14:conditionalFormatting>
        <x14:conditionalFormatting xmlns:xm="http://schemas.microsoft.com/office/excel/2006/main">
          <x14:cfRule type="expression" priority="11" id="{52CB8A2E-24A3-4F7F-B5F5-792FA76218E9}">
            <xm:f>Lists!$D$29&lt;&gt;1</xm:f>
            <x14:dxf>
              <fill>
                <patternFill>
                  <bgColor theme="5" tint="0.79998168889431442"/>
                </patternFill>
              </fill>
            </x14:dxf>
          </x14:cfRule>
          <x14:cfRule type="expression" priority="12" id="{EB75FDCD-EFCC-4BDF-AA14-F3DB03D02B7E}">
            <xm:f>Lists!$D$29=1</xm:f>
            <x14:dxf>
              <fill>
                <patternFill patternType="solid">
                  <bgColor theme="9" tint="0.59996337778862885"/>
                </patternFill>
              </fill>
            </x14:dxf>
          </x14:cfRule>
          <xm:sqref>D162</xm:sqref>
        </x14:conditionalFormatting>
        <x14:conditionalFormatting xmlns:xm="http://schemas.microsoft.com/office/excel/2006/main">
          <x14:cfRule type="expression" priority="9" id="{9AC5F19E-53E7-4C92-BE9F-1447937B1816}">
            <xm:f>Lists!$D$30&lt;&gt;1</xm:f>
            <x14:dxf>
              <fill>
                <patternFill>
                  <bgColor theme="5" tint="0.79998168889431442"/>
                </patternFill>
              </fill>
            </x14:dxf>
          </x14:cfRule>
          <x14:cfRule type="expression" priority="10" id="{95322F7D-00DD-472B-AA2F-B89FF554C7AE}">
            <xm:f>Lists!$D$30=1</xm:f>
            <x14:dxf>
              <fill>
                <patternFill patternType="solid">
                  <bgColor theme="9" tint="0.59996337778862885"/>
                </patternFill>
              </fill>
            </x14:dxf>
          </x14:cfRule>
          <xm:sqref>D174</xm:sqref>
        </x14:conditionalFormatting>
        <x14:conditionalFormatting xmlns:xm="http://schemas.microsoft.com/office/excel/2006/main">
          <x14:cfRule type="expression" priority="8" id="{6BF44F16-429D-4313-B807-D151BF31E40E}">
            <xm:f>Lists!$D$30=1</xm:f>
            <x14:dxf>
              <fill>
                <patternFill patternType="solid">
                  <bgColor theme="9" tint="0.59996337778862885"/>
                </patternFill>
              </fill>
            </x14:dxf>
          </x14:cfRule>
          <x14:cfRule type="expression" priority="7" id="{72EC7AC3-55A1-43CB-B367-5BCEA7DE6552}">
            <xm:f>Lists!$D$30&lt;&gt;1</xm:f>
            <x14:dxf>
              <fill>
                <patternFill>
                  <bgColor theme="5" tint="0.79998168889431442"/>
                </patternFill>
              </fill>
            </x14:dxf>
          </x14:cfRule>
          <xm:sqref>D177 D180 D183 D186 D190 D194 D197 D200 D203</xm:sqref>
        </x14:conditionalFormatting>
        <x14:conditionalFormatting xmlns:xm="http://schemas.microsoft.com/office/excel/2006/main">
          <x14:cfRule type="expression" priority="6" id="{BD351CA0-7E8C-4711-97B7-5401744D94B5}">
            <xm:f>Lists!$D$31=1</xm:f>
            <x14:dxf>
              <fill>
                <patternFill patternType="solid">
                  <bgColor theme="9" tint="0.59996337778862885"/>
                </patternFill>
              </fill>
            </x14:dxf>
          </x14:cfRule>
          <x14:cfRule type="expression" priority="5" id="{92EA27D0-671B-4CA0-B3D3-C3A2D06C93B1}">
            <xm:f>Lists!$D$31&lt;&gt;1</xm:f>
            <x14:dxf>
              <fill>
                <patternFill>
                  <bgColor theme="5" tint="0.79998168889431442"/>
                </patternFill>
              </fill>
            </x14:dxf>
          </x14:cfRule>
          <xm:sqref>D215</xm:sqref>
        </x14:conditionalFormatting>
        <x14:conditionalFormatting xmlns:xm="http://schemas.microsoft.com/office/excel/2006/main">
          <x14:cfRule type="expression" priority="4" id="{2C23EB79-EE0C-49D1-96C3-DBDCE5EE4F56}">
            <xm:f>Lists!$D$31=1</xm:f>
            <x14:dxf>
              <fill>
                <patternFill patternType="solid">
                  <bgColor theme="9" tint="0.59996337778862885"/>
                </patternFill>
              </fill>
            </x14:dxf>
          </x14:cfRule>
          <x14:cfRule type="expression" priority="3" id="{F40DAB97-8E20-4001-817F-CF6548410360}">
            <xm:f>Lists!$D$31&lt;&gt;1</xm:f>
            <x14:dxf>
              <fill>
                <patternFill>
                  <bgColor theme="5" tint="0.79998168889431442"/>
                </patternFill>
              </fill>
            </x14:dxf>
          </x14:cfRule>
          <xm:sqref>D218 D221 D224 D227 D231 D235 D238 D241 D244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82D7-169E-4F84-BD0C-B55DC3DC0051}">
  <sheetPr codeName="Sheet4">
    <tabColor rgb="FFA8D08D"/>
  </sheetPr>
  <dimension ref="A1:AP380"/>
  <sheetViews>
    <sheetView zoomScale="65" zoomScaleNormal="70" workbookViewId="0"/>
  </sheetViews>
  <sheetFormatPr baseColWidth="10" defaultColWidth="0" defaultRowHeight="16" zeroHeight="1"/>
  <cols>
    <col min="1" max="1" width="2.6640625" style="1010" customWidth="1"/>
    <col min="2" max="2" width="8.33203125" style="1009" customWidth="1"/>
    <col min="3" max="3" width="49.83203125" style="1009" customWidth="1"/>
    <col min="4" max="33" width="9" style="1009" customWidth="1"/>
    <col min="34" max="34" width="10.6640625" style="1009" customWidth="1"/>
    <col min="35" max="35" width="2.83203125" style="1009" customWidth="1"/>
    <col min="36" max="36" width="21.33203125" style="1009" customWidth="1"/>
    <col min="37" max="37" width="12.83203125" style="1009" customWidth="1"/>
    <col min="38" max="39" width="12.33203125" style="1009" customWidth="1"/>
    <col min="40" max="40" width="15.83203125" style="1009" customWidth="1"/>
    <col min="41" max="41" width="3.1640625" style="1009" customWidth="1"/>
    <col min="42" max="42" width="11" style="1009" customWidth="1"/>
    <col min="43" max="16384" width="9" style="1009" hidden="1"/>
  </cols>
  <sheetData>
    <row r="1" spans="1:42" s="1013" customFormat="1" ht="34">
      <c r="A1" s="1010"/>
      <c r="B1" s="1003"/>
      <c r="C1" s="1003"/>
      <c r="D1" s="1003" t="s">
        <v>1630</v>
      </c>
      <c r="E1" s="1004"/>
      <c r="F1" s="1005"/>
      <c r="G1" s="1003"/>
      <c r="H1" s="1003"/>
      <c r="I1" s="1003"/>
      <c r="J1" s="1012"/>
      <c r="K1" s="1012"/>
      <c r="L1" s="1012"/>
      <c r="M1" s="1012"/>
      <c r="N1" s="1005"/>
      <c r="O1" s="1012"/>
      <c r="P1" s="1012"/>
      <c r="Q1" s="1012"/>
      <c r="R1" s="1012"/>
      <c r="S1" s="1238">
        <f>'Input sheet'!D18</f>
        <v>0</v>
      </c>
      <c r="T1" s="1238"/>
      <c r="U1" s="1238"/>
      <c r="V1" s="1238"/>
      <c r="W1" s="1238"/>
      <c r="X1" s="1238"/>
      <c r="Y1" s="1238"/>
      <c r="Z1" s="1238"/>
      <c r="AA1" s="1238"/>
      <c r="AB1" s="1238"/>
      <c r="AC1" s="1005"/>
      <c r="AF1" s="1005" t="s">
        <v>1616</v>
      </c>
    </row>
    <row r="2" spans="1:42" s="1013" customFormat="1" ht="21">
      <c r="A2" s="1010"/>
      <c r="B2" s="1014"/>
      <c r="C2" s="1015"/>
      <c r="D2" s="1015" t="s">
        <v>1631</v>
      </c>
      <c r="E2" s="1016"/>
      <c r="F2" s="1006"/>
      <c r="G2" s="1006"/>
      <c r="H2" s="1006"/>
      <c r="I2" s="1006"/>
      <c r="J2" s="1017"/>
      <c r="K2" s="1017"/>
      <c r="L2" s="1017"/>
      <c r="M2" s="1017"/>
      <c r="N2" s="1017"/>
      <c r="O2" s="1017"/>
      <c r="P2" s="1017"/>
      <c r="Q2" s="1017"/>
      <c r="R2" s="1017"/>
      <c r="S2" s="1238"/>
      <c r="T2" s="1238"/>
      <c r="U2" s="1238"/>
      <c r="V2" s="1238"/>
      <c r="W2" s="1238"/>
      <c r="X2" s="1238"/>
      <c r="Y2" s="1238"/>
      <c r="Z2" s="1238"/>
      <c r="AA2" s="1238"/>
      <c r="AB2" s="1238"/>
      <c r="AF2" s="1090"/>
    </row>
    <row r="3" spans="1:42" s="1013" customFormat="1" ht="21">
      <c r="A3" s="1010"/>
      <c r="B3" s="1014"/>
      <c r="C3" s="1015"/>
      <c r="D3" s="1016"/>
      <c r="E3" s="1016"/>
      <c r="F3" s="1006"/>
      <c r="G3" s="1006"/>
      <c r="H3" s="1006"/>
      <c r="I3" s="1006"/>
      <c r="J3" s="1017"/>
      <c r="K3" s="1017"/>
      <c r="L3" s="1017"/>
      <c r="M3" s="1017"/>
      <c r="N3" s="1017"/>
      <c r="O3" s="1017"/>
      <c r="P3" s="1017"/>
      <c r="Q3" s="1017"/>
      <c r="R3" s="1017"/>
      <c r="S3" s="1017"/>
      <c r="T3" s="1017"/>
      <c r="U3" s="1017"/>
      <c r="V3" s="1017"/>
      <c r="W3" s="1017"/>
    </row>
    <row r="4" spans="1:42" ht="30" thickBot="1">
      <c r="A4" s="1007"/>
      <c r="B4" s="1011" t="s">
        <v>1629</v>
      </c>
      <c r="D4" s="1032" t="s">
        <v>1709</v>
      </c>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c r="AH4" s="1033"/>
      <c r="AI4" s="1033"/>
      <c r="AJ4" s="1033"/>
      <c r="AK4" s="1033"/>
      <c r="AL4" s="1033"/>
      <c r="AM4" s="1033"/>
      <c r="AN4" s="1033"/>
      <c r="AO4" s="1033"/>
      <c r="AP4" s="1033"/>
    </row>
    <row r="5" spans="1:42" ht="27" customHeight="1">
      <c r="B5" s="1231" t="s">
        <v>1619</v>
      </c>
      <c r="C5" s="1231"/>
      <c r="D5" s="1023" t="s">
        <v>1813</v>
      </c>
      <c r="E5" s="1010"/>
      <c r="F5" s="1010"/>
      <c r="G5" s="1010"/>
      <c r="H5" s="1010"/>
      <c r="I5" s="1010"/>
      <c r="J5" s="1010"/>
      <c r="K5" s="1010"/>
      <c r="L5" s="1010"/>
      <c r="M5" s="1010"/>
      <c r="N5" s="1010"/>
      <c r="O5" s="1010"/>
      <c r="P5" s="1010"/>
      <c r="Q5" s="1010"/>
      <c r="R5" s="1010"/>
      <c r="S5" s="1010"/>
      <c r="T5" s="1010"/>
      <c r="U5" s="1010"/>
      <c r="V5" s="1010"/>
      <c r="W5" s="1010"/>
      <c r="X5" s="1010"/>
      <c r="Y5" s="1010"/>
      <c r="Z5" s="1010"/>
      <c r="AA5" s="1010"/>
      <c r="AB5" s="1010"/>
      <c r="AC5" s="1010"/>
      <c r="AD5" s="1010"/>
      <c r="AE5" s="1010"/>
      <c r="AF5" s="1010"/>
      <c r="AG5" s="1010"/>
      <c r="AH5" s="1010"/>
      <c r="AI5" s="1010"/>
      <c r="AJ5" s="1010"/>
      <c r="AK5" s="1010"/>
      <c r="AL5" s="1010"/>
      <c r="AM5" s="1010"/>
      <c r="AN5" s="1010"/>
      <c r="AO5" s="1010"/>
      <c r="AP5" s="1010"/>
    </row>
    <row r="6" spans="1:42" ht="27" customHeight="1" thickBot="1">
      <c r="B6" s="1234">
        <f>'Input sheet'!D19</f>
        <v>0</v>
      </c>
      <c r="C6" s="1234"/>
      <c r="D6" s="1133" t="s">
        <v>1814</v>
      </c>
      <c r="E6" s="1131"/>
      <c r="F6" s="1033"/>
      <c r="G6" s="1033"/>
      <c r="H6" s="1033"/>
      <c r="I6" s="1033"/>
      <c r="J6" s="1033"/>
      <c r="K6" s="1033"/>
      <c r="L6" s="1033"/>
      <c r="M6" s="1033"/>
      <c r="N6" s="1033"/>
      <c r="O6" s="1132"/>
      <c r="P6" s="1033"/>
      <c r="Q6" s="1131"/>
      <c r="R6" s="1033"/>
      <c r="S6" s="1033"/>
      <c r="T6" s="1033"/>
      <c r="U6" s="1033"/>
      <c r="V6" s="1033"/>
      <c r="W6" s="1033"/>
      <c r="X6" s="1033"/>
      <c r="Y6" s="1033"/>
      <c r="Z6" s="1033"/>
      <c r="AA6" s="1033"/>
      <c r="AB6" s="1132"/>
      <c r="AC6" s="1033"/>
      <c r="AD6" s="1033"/>
      <c r="AE6" s="1033"/>
      <c r="AF6" s="1033"/>
      <c r="AG6" s="1033"/>
      <c r="AH6" s="1033"/>
      <c r="AI6" s="1033"/>
      <c r="AJ6" s="1033"/>
      <c r="AK6" s="1033"/>
      <c r="AL6" s="1033"/>
      <c r="AM6" s="1033"/>
      <c r="AN6" s="1033"/>
      <c r="AO6" s="1033"/>
      <c r="AP6" s="1033"/>
    </row>
    <row r="7" spans="1:42" ht="27" customHeight="1">
      <c r="B7" s="1230"/>
      <c r="C7" s="1230"/>
      <c r="G7" s="1010"/>
      <c r="H7" s="1010"/>
      <c r="I7" s="1010"/>
      <c r="J7" s="1010"/>
      <c r="K7" s="1010"/>
      <c r="L7" s="1010"/>
      <c r="M7" s="1010"/>
      <c r="N7" s="1010"/>
      <c r="O7" s="1022"/>
      <c r="Q7" s="1021"/>
      <c r="R7" s="1010"/>
      <c r="S7" s="1010"/>
      <c r="T7" s="1010"/>
      <c r="U7" s="1010"/>
      <c r="V7" s="1010"/>
      <c r="W7" s="1010"/>
      <c r="X7" s="1010"/>
      <c r="Y7" s="1010"/>
      <c r="Z7" s="1010"/>
      <c r="AA7" s="1010"/>
      <c r="AB7" s="1022"/>
    </row>
    <row r="8" spans="1:42" ht="23.25" customHeight="1">
      <c r="B8" s="1231" t="s">
        <v>1620</v>
      </c>
      <c r="C8" s="1231"/>
      <c r="G8" s="1010"/>
      <c r="H8" s="1010"/>
      <c r="I8" s="1010"/>
      <c r="J8" s="1010"/>
      <c r="K8" s="1010"/>
      <c r="L8" s="1010"/>
      <c r="M8" s="1010"/>
      <c r="N8" s="1010"/>
      <c r="O8" s="1022"/>
      <c r="Q8" s="1021"/>
      <c r="R8" s="1010"/>
      <c r="S8" s="1010"/>
      <c r="T8" s="1010"/>
      <c r="U8" s="1010"/>
      <c r="V8" s="1010"/>
      <c r="W8" s="1010"/>
      <c r="X8" s="1010"/>
      <c r="Y8" s="1010"/>
      <c r="Z8" s="1010"/>
      <c r="AA8" s="1010"/>
      <c r="AB8" s="1022"/>
      <c r="AI8" s="1235" t="s">
        <v>1724</v>
      </c>
      <c r="AJ8" s="1235"/>
      <c r="AK8" s="1235"/>
      <c r="AL8" s="1235"/>
      <c r="AM8" s="1235"/>
      <c r="AN8" s="1235"/>
      <c r="AO8" s="1235"/>
    </row>
    <row r="9" spans="1:42" ht="26.25" customHeight="1">
      <c r="B9" s="1233" t="str">
        <f>'Input sheet'!D20&amp;" days"</f>
        <v xml:space="preserve"> days</v>
      </c>
      <c r="C9" s="1233"/>
      <c r="G9" s="1010"/>
      <c r="H9" s="1010"/>
      <c r="I9" s="1010"/>
      <c r="J9" s="1010"/>
      <c r="K9" s="1010"/>
      <c r="L9" s="1010"/>
      <c r="M9" s="1010"/>
      <c r="N9" s="1010"/>
      <c r="O9" s="1022"/>
      <c r="Q9" s="1021"/>
      <c r="R9" s="1010"/>
      <c r="S9" s="1010"/>
      <c r="T9" s="1010"/>
      <c r="U9" s="1010"/>
      <c r="V9" s="1010"/>
      <c r="W9" s="1010"/>
      <c r="X9" s="1010"/>
      <c r="Y9" s="1010"/>
      <c r="Z9" s="1010"/>
      <c r="AA9" s="1010"/>
      <c r="AB9" s="1022"/>
      <c r="AI9" s="1236"/>
      <c r="AJ9" s="1236"/>
      <c r="AK9" s="1236"/>
      <c r="AL9" s="1236"/>
      <c r="AM9" s="1236"/>
      <c r="AN9" s="1236"/>
      <c r="AO9" s="1236"/>
    </row>
    <row r="10" spans="1:42" ht="26">
      <c r="B10" s="1230"/>
      <c r="C10" s="1230"/>
      <c r="G10" s="1010"/>
      <c r="H10" s="1010"/>
      <c r="I10" s="1010"/>
      <c r="J10" s="1010"/>
      <c r="K10" s="1010"/>
      <c r="L10" s="1010"/>
      <c r="M10" s="1010"/>
      <c r="N10" s="1010"/>
      <c r="O10" s="1022"/>
      <c r="Q10" s="1021"/>
      <c r="R10" s="1010"/>
      <c r="S10" s="1010"/>
      <c r="T10" s="1010"/>
      <c r="U10" s="1010"/>
      <c r="V10" s="1010"/>
      <c r="W10" s="1010"/>
      <c r="X10" s="1010"/>
      <c r="Y10" s="1010"/>
      <c r="Z10" s="1010"/>
      <c r="AA10" s="1010"/>
      <c r="AB10" s="1022"/>
      <c r="AI10" s="1094"/>
      <c r="AJ10" s="1094"/>
      <c r="AK10" s="1094"/>
      <c r="AL10" s="1094"/>
      <c r="AM10" s="1094"/>
      <c r="AN10" s="1094"/>
      <c r="AO10" s="1094"/>
    </row>
    <row r="11" spans="1:42" ht="24">
      <c r="B11" s="1231" t="s">
        <v>1621</v>
      </c>
      <c r="C11" s="1231"/>
      <c r="G11" s="1010"/>
      <c r="H11" s="1010"/>
      <c r="I11" s="1010"/>
      <c r="J11" s="1010"/>
      <c r="K11" s="1010"/>
      <c r="L11" s="1010"/>
      <c r="M11" s="1010"/>
      <c r="N11" s="1010"/>
      <c r="O11" s="1022"/>
      <c r="Q11" s="1021"/>
      <c r="R11" s="1010"/>
      <c r="S11" s="1010"/>
      <c r="T11" s="1010"/>
      <c r="U11" s="1010"/>
      <c r="V11" s="1010"/>
      <c r="W11" s="1010"/>
      <c r="X11" s="1010"/>
      <c r="Y11" s="1010"/>
      <c r="Z11" s="1010"/>
      <c r="AA11" s="1010"/>
      <c r="AB11" s="1022"/>
      <c r="AI11" s="1102"/>
      <c r="AJ11" s="1107" t="s">
        <v>1725</v>
      </c>
      <c r="AK11" s="1094"/>
      <c r="AL11" s="1094"/>
      <c r="AM11" s="1094"/>
      <c r="AN11" s="1094"/>
      <c r="AO11" s="1094"/>
    </row>
    <row r="12" spans="1:42" ht="26">
      <c r="B12" s="1233" t="str">
        <f>'Input sheet'!D21&amp;", "&amp;'Input sheet'!D22</f>
        <v xml:space="preserve">, </v>
      </c>
      <c r="C12" s="1233"/>
      <c r="G12" s="1010"/>
      <c r="H12" s="1010"/>
      <c r="I12" s="1010"/>
      <c r="J12" s="1010"/>
      <c r="K12" s="1010"/>
      <c r="L12" s="1010"/>
      <c r="M12" s="1010"/>
      <c r="N12" s="1010"/>
      <c r="O12" s="1022"/>
      <c r="Q12" s="1021"/>
      <c r="R12" s="1010"/>
      <c r="S12" s="1010"/>
      <c r="T12" s="1010"/>
      <c r="U12" s="1010"/>
      <c r="V12" s="1010"/>
      <c r="W12" s="1010"/>
      <c r="X12" s="1010"/>
      <c r="Y12" s="1010"/>
      <c r="Z12" s="1010"/>
      <c r="AA12" s="1010"/>
      <c r="AB12" s="1022"/>
      <c r="AI12" s="1102"/>
      <c r="AJ12" s="1106" t="s">
        <v>1744</v>
      </c>
      <c r="AK12" s="1110" t="str">
        <f>'Facilitatory data'!G289</f>
        <v/>
      </c>
      <c r="AL12" s="1094" t="str">
        <f>'Facilitatory data'!H289</f>
        <v>kg CO2-eq/visitor-day</v>
      </c>
      <c r="AM12" s="1094"/>
      <c r="AN12" s="1094"/>
      <c r="AO12" s="1094"/>
    </row>
    <row r="13" spans="1:42" ht="26">
      <c r="A13" s="1023"/>
      <c r="B13" s="1230"/>
      <c r="C13" s="1230"/>
      <c r="G13" s="1010"/>
      <c r="H13" s="1010"/>
      <c r="I13" s="1010"/>
      <c r="J13" s="1010"/>
      <c r="K13" s="1010"/>
      <c r="L13" s="1010"/>
      <c r="M13" s="1010"/>
      <c r="N13" s="1010"/>
      <c r="O13" s="1022"/>
      <c r="Q13" s="1021"/>
      <c r="R13" s="1010"/>
      <c r="S13" s="1010"/>
      <c r="T13" s="1010"/>
      <c r="U13" s="1010"/>
      <c r="V13" s="1010"/>
      <c r="W13" s="1010"/>
      <c r="X13" s="1010"/>
      <c r="Y13" s="1010"/>
      <c r="Z13" s="1010"/>
      <c r="AA13" s="1010"/>
      <c r="AB13" s="1022"/>
      <c r="AI13" s="1102"/>
      <c r="AJ13" s="1106" t="s">
        <v>1745</v>
      </c>
      <c r="AK13" s="1110" t="str">
        <f>'Facilitatory data'!G290</f>
        <v/>
      </c>
      <c r="AL13" s="1094" t="str">
        <f>'Facilitatory data'!H290</f>
        <v>kg CO2-eq/visitor-day</v>
      </c>
      <c r="AM13" s="1094"/>
      <c r="AN13" s="1094"/>
      <c r="AO13" s="1094"/>
    </row>
    <row r="14" spans="1:42" ht="24">
      <c r="B14" s="1231" t="s">
        <v>1622</v>
      </c>
      <c r="C14" s="1231"/>
      <c r="G14" s="1010"/>
      <c r="H14" s="1010"/>
      <c r="I14" s="1010"/>
      <c r="J14" s="1010"/>
      <c r="K14" s="1010"/>
      <c r="L14" s="1010"/>
      <c r="M14" s="1010"/>
      <c r="N14" s="1010"/>
      <c r="O14" s="1022"/>
      <c r="Q14" s="1021"/>
      <c r="R14" s="1010"/>
      <c r="S14" s="1010"/>
      <c r="T14" s="1010"/>
      <c r="U14" s="1010"/>
      <c r="V14" s="1010"/>
      <c r="W14" s="1010"/>
      <c r="X14" s="1010"/>
      <c r="Y14" s="1010"/>
      <c r="Z14" s="1010"/>
      <c r="AA14" s="1010"/>
      <c r="AB14" s="1022"/>
      <c r="AI14" s="1094"/>
      <c r="AJ14" s="1094"/>
      <c r="AK14" s="1094"/>
      <c r="AL14" s="1094"/>
      <c r="AM14" s="1094"/>
      <c r="AN14" s="1094"/>
      <c r="AO14" s="1094"/>
    </row>
    <row r="15" spans="1:42" ht="26">
      <c r="B15" s="1232">
        <f>'Input sheet'!D23</f>
        <v>0</v>
      </c>
      <c r="C15" s="1233"/>
      <c r="G15" s="1010"/>
      <c r="H15" s="1010"/>
      <c r="I15" s="1010"/>
      <c r="J15" s="1010"/>
      <c r="K15" s="1010"/>
      <c r="L15" s="1010"/>
      <c r="M15" s="1010"/>
      <c r="N15" s="1010"/>
      <c r="O15" s="1022"/>
      <c r="Q15" s="1021"/>
      <c r="R15" s="1010"/>
      <c r="S15" s="1010"/>
      <c r="T15" s="1010"/>
      <c r="U15" s="1010"/>
      <c r="V15" s="1010"/>
      <c r="W15" s="1010"/>
      <c r="X15" s="1010"/>
      <c r="Y15" s="1010"/>
      <c r="Z15" s="1010"/>
      <c r="AA15" s="1010"/>
      <c r="AB15" s="1022"/>
      <c r="AI15" s="1102"/>
      <c r="AJ15" s="1107" t="s">
        <v>1735</v>
      </c>
      <c r="AK15" s="1094"/>
      <c r="AL15" s="1094"/>
      <c r="AM15" s="1094"/>
      <c r="AN15" s="1094"/>
      <c r="AO15" s="1094"/>
    </row>
    <row r="16" spans="1:42" ht="26">
      <c r="B16" s="1230"/>
      <c r="C16" s="1230"/>
      <c r="G16" s="1010"/>
      <c r="H16" s="1010"/>
      <c r="I16" s="1010"/>
      <c r="J16" s="1010"/>
      <c r="K16" s="1010"/>
      <c r="L16" s="1010"/>
      <c r="M16" s="1010"/>
      <c r="N16" s="1010"/>
      <c r="O16" s="1022"/>
      <c r="Q16" s="1021"/>
      <c r="R16" s="1010"/>
      <c r="S16" s="1010"/>
      <c r="T16" s="1010"/>
      <c r="U16" s="1010"/>
      <c r="V16" s="1010"/>
      <c r="W16" s="1010"/>
      <c r="X16" s="1010"/>
      <c r="Y16" s="1010"/>
      <c r="Z16" s="1010"/>
      <c r="AA16" s="1010"/>
      <c r="AB16" s="1022"/>
      <c r="AI16" s="1094"/>
      <c r="AJ16" s="1106" t="s">
        <v>1711</v>
      </c>
      <c r="AK16" s="1110" t="str">
        <f>'Facilitatory data'!G294</f>
        <v/>
      </c>
      <c r="AL16" s="1094" t="str">
        <f>'Facilitatory data'!H294</f>
        <v>kg/visitor-day</v>
      </c>
      <c r="AM16" s="1094"/>
      <c r="AN16" s="1094"/>
      <c r="AO16" s="1094"/>
    </row>
    <row r="17" spans="1:41" ht="26">
      <c r="B17" s="1231" t="s">
        <v>1623</v>
      </c>
      <c r="C17" s="1231"/>
      <c r="G17" s="1010"/>
      <c r="H17" s="1010"/>
      <c r="I17" s="1010"/>
      <c r="J17" s="1010"/>
      <c r="K17" s="1010"/>
      <c r="L17" s="1010"/>
      <c r="M17" s="1010"/>
      <c r="N17" s="1010"/>
      <c r="O17" s="1022"/>
      <c r="Q17" s="1021"/>
      <c r="R17" s="1010"/>
      <c r="S17" s="1010"/>
      <c r="T17" s="1010"/>
      <c r="U17" s="1010"/>
      <c r="V17" s="1010"/>
      <c r="W17" s="1010"/>
      <c r="X17" s="1010"/>
      <c r="Y17" s="1010"/>
      <c r="Z17" s="1010"/>
      <c r="AA17" s="1010"/>
      <c r="AB17" s="1022"/>
      <c r="AI17" s="1094"/>
      <c r="AJ17" s="1106" t="s">
        <v>1710</v>
      </c>
      <c r="AK17" s="1110" t="str">
        <f>'Facilitatory data'!G295</f>
        <v/>
      </c>
      <c r="AL17" s="1094" t="str">
        <f>'Facilitatory data'!H295</f>
        <v>kg/visitor-day</v>
      </c>
      <c r="AM17" s="1094"/>
      <c r="AN17" s="1094"/>
      <c r="AO17" s="1094"/>
    </row>
    <row r="18" spans="1:41" ht="26">
      <c r="A18" s="1024"/>
      <c r="B18" s="1232">
        <f>'Input sheet'!D25</f>
        <v>0</v>
      </c>
      <c r="C18" s="1233"/>
      <c r="G18" s="1010"/>
      <c r="H18" s="1010"/>
      <c r="I18" s="1010"/>
      <c r="J18" s="1010"/>
      <c r="K18" s="1010"/>
      <c r="L18" s="1010"/>
      <c r="M18" s="1010"/>
      <c r="N18" s="1010"/>
      <c r="O18" s="1022"/>
      <c r="Q18" s="1021"/>
      <c r="R18" s="1010"/>
      <c r="S18" s="1010"/>
      <c r="T18" s="1010"/>
      <c r="U18" s="1010"/>
      <c r="V18" s="1010"/>
      <c r="W18" s="1010"/>
      <c r="X18" s="1010"/>
      <c r="Y18" s="1010"/>
      <c r="Z18" s="1010"/>
      <c r="AA18" s="1010"/>
      <c r="AB18" s="1022"/>
      <c r="AI18" s="1094"/>
      <c r="AJ18" s="1094"/>
      <c r="AK18" s="1094"/>
      <c r="AL18" s="1094"/>
      <c r="AM18" s="1094"/>
      <c r="AN18" s="1094"/>
      <c r="AO18" s="1094"/>
    </row>
    <row r="19" spans="1:41" ht="24">
      <c r="G19" s="1010"/>
      <c r="H19" s="1010"/>
      <c r="I19" s="1010"/>
      <c r="J19" s="1010"/>
      <c r="K19" s="1010"/>
      <c r="L19" s="1010"/>
      <c r="M19" s="1010"/>
      <c r="N19" s="1010"/>
      <c r="O19" s="1022"/>
      <c r="Q19" s="1025"/>
      <c r="R19" s="1026"/>
      <c r="S19" s="1026"/>
      <c r="T19" s="1026"/>
      <c r="U19" s="1026"/>
      <c r="V19" s="1026"/>
      <c r="W19" s="1026"/>
      <c r="X19" s="1026"/>
      <c r="Y19" s="1026"/>
      <c r="Z19" s="1026"/>
      <c r="AA19" s="1026"/>
      <c r="AB19" s="1027"/>
      <c r="AI19" s="1094"/>
      <c r="AJ19" s="1107" t="s">
        <v>1736</v>
      </c>
      <c r="AK19" s="1094"/>
      <c r="AL19" s="1094"/>
      <c r="AM19" s="1094"/>
      <c r="AN19" s="1094"/>
      <c r="AO19" s="1094"/>
    </row>
    <row r="20" spans="1:41" ht="26">
      <c r="B20" s="1231" t="s">
        <v>1624</v>
      </c>
      <c r="C20" s="1231"/>
      <c r="G20" s="1010"/>
      <c r="H20" s="1010"/>
      <c r="I20" s="1010"/>
      <c r="J20" s="1010"/>
      <c r="K20" s="1010"/>
      <c r="L20" s="1010"/>
      <c r="M20" s="1010"/>
      <c r="N20" s="1010"/>
      <c r="O20" s="1022"/>
      <c r="S20" s="1010"/>
      <c r="T20" s="1010"/>
      <c r="U20" s="1010"/>
      <c r="V20" s="1010"/>
      <c r="W20" s="1010"/>
      <c r="X20" s="1010"/>
      <c r="Y20" s="1010"/>
      <c r="Z20" s="1010"/>
      <c r="AA20" s="1010"/>
      <c r="AB20" s="1010"/>
      <c r="AI20" s="1094"/>
      <c r="AJ20" s="1106" t="s">
        <v>1737</v>
      </c>
      <c r="AK20" s="1110" t="str">
        <f>'Facilitatory data'!G300</f>
        <v/>
      </c>
      <c r="AL20" s="1094" t="str">
        <f>'Facilitatory data'!H300</f>
        <v>kg/visitor-day</v>
      </c>
      <c r="AM20" s="1094"/>
      <c r="AN20" s="1094"/>
      <c r="AO20" s="1094"/>
    </row>
    <row r="21" spans="1:41" ht="26">
      <c r="B21" s="1233" t="str">
        <f>IF('Input sheet'!D26="Yes","Own campsite", "No campsite")</f>
        <v>No campsite</v>
      </c>
      <c r="C21" s="1233"/>
      <c r="G21" s="1010"/>
      <c r="H21" s="1010"/>
      <c r="I21" s="1010"/>
      <c r="J21" s="1010"/>
      <c r="K21" s="1010"/>
      <c r="L21" s="1010"/>
      <c r="M21" s="1010"/>
      <c r="N21" s="1010"/>
      <c r="O21" s="1022"/>
      <c r="Q21" s="1018"/>
      <c r="R21" s="1019"/>
      <c r="S21" s="1019"/>
      <c r="T21" s="1019"/>
      <c r="U21" s="1019"/>
      <c r="V21" s="1019"/>
      <c r="W21" s="1019"/>
      <c r="X21" s="1019"/>
      <c r="Y21" s="1019"/>
      <c r="Z21" s="1019"/>
      <c r="AA21" s="1019"/>
      <c r="AB21" s="1020"/>
      <c r="AI21" s="1094"/>
      <c r="AJ21" s="1106" t="s">
        <v>1645</v>
      </c>
      <c r="AK21" s="1110" t="str">
        <f>'Facilitatory data'!G301</f>
        <v/>
      </c>
      <c r="AL21" s="1094" t="str">
        <f>'Facilitatory data'!H301</f>
        <v>kg/visitor-day</v>
      </c>
      <c r="AM21" s="1094"/>
      <c r="AN21" s="1094"/>
      <c r="AO21" s="1094"/>
    </row>
    <row r="22" spans="1:41" ht="26">
      <c r="B22" s="1230"/>
      <c r="C22" s="1230"/>
      <c r="G22" s="1010"/>
      <c r="H22" s="1010"/>
      <c r="I22" s="1010"/>
      <c r="J22" s="1010"/>
      <c r="K22" s="1010"/>
      <c r="L22" s="1010"/>
      <c r="M22" s="1010"/>
      <c r="N22" s="1010"/>
      <c r="O22" s="1022"/>
      <c r="Q22" s="1021"/>
      <c r="R22" s="1010"/>
      <c r="S22" s="1010"/>
      <c r="T22" s="1010"/>
      <c r="U22" s="1010"/>
      <c r="V22" s="1010"/>
      <c r="W22" s="1010"/>
      <c r="X22" s="1010"/>
      <c r="Y22" s="1010"/>
      <c r="Z22" s="1010"/>
      <c r="AA22" s="1010"/>
      <c r="AB22" s="1022"/>
      <c r="AI22" s="1094"/>
      <c r="AJ22" s="1094"/>
      <c r="AK22" s="1094"/>
      <c r="AL22" s="1094"/>
      <c r="AM22" s="1094"/>
      <c r="AN22" s="1094"/>
      <c r="AO22" s="1094"/>
    </row>
    <row r="23" spans="1:41" ht="24">
      <c r="B23" s="1231" t="s">
        <v>1625</v>
      </c>
      <c r="C23" s="1231"/>
      <c r="G23" s="1010"/>
      <c r="H23" s="1010"/>
      <c r="I23" s="1010"/>
      <c r="J23" s="1010"/>
      <c r="K23" s="1010"/>
      <c r="L23" s="1010"/>
      <c r="M23" s="1010"/>
      <c r="N23" s="1010"/>
      <c r="O23" s="1022"/>
      <c r="Q23" s="1021"/>
      <c r="R23" s="1010"/>
      <c r="S23" s="1010"/>
      <c r="T23" s="1010"/>
      <c r="U23" s="1010"/>
      <c r="V23" s="1010"/>
      <c r="W23" s="1010"/>
      <c r="X23" s="1010"/>
      <c r="Y23" s="1010"/>
      <c r="Z23" s="1010"/>
      <c r="AA23" s="1010"/>
      <c r="AB23" s="1022"/>
      <c r="AI23" s="1094"/>
      <c r="AJ23" s="1107" t="s">
        <v>1754</v>
      </c>
      <c r="AK23" s="1094"/>
      <c r="AL23" s="1094"/>
      <c r="AM23" s="1094"/>
      <c r="AN23" s="1094"/>
      <c r="AO23" s="1094"/>
    </row>
    <row r="24" spans="1:41" ht="26">
      <c r="B24" s="1233" t="str">
        <f>'Input sheet'!D28&amp;" degrees and "&amp;LOWER('Input sheet'!D27)</f>
        <v xml:space="preserve"> degrees and </v>
      </c>
      <c r="C24" s="1233"/>
      <c r="G24" s="1010"/>
      <c r="H24" s="1010"/>
      <c r="I24" s="1010"/>
      <c r="J24" s="1010"/>
      <c r="K24" s="1010"/>
      <c r="L24" s="1010"/>
      <c r="M24" s="1010"/>
      <c r="N24" s="1010"/>
      <c r="O24" s="1022"/>
      <c r="Q24" s="1021"/>
      <c r="R24" s="1010"/>
      <c r="S24" s="1010"/>
      <c r="T24" s="1010"/>
      <c r="U24" s="1010"/>
      <c r="V24" s="1010"/>
      <c r="W24" s="1010"/>
      <c r="X24" s="1010"/>
      <c r="Y24" s="1010"/>
      <c r="Z24" s="1010"/>
      <c r="AA24" s="1010"/>
      <c r="AB24" s="1022"/>
      <c r="AI24" s="1094"/>
      <c r="AJ24" s="1106" t="s">
        <v>1664</v>
      </c>
      <c r="AK24" s="1112" t="str">
        <f>'Facilitatory data'!G307</f>
        <v/>
      </c>
      <c r="AL24" s="1094" t="str">
        <f>'Facilitatory data'!H307</f>
        <v>km/visitor-day</v>
      </c>
      <c r="AM24" s="1094"/>
      <c r="AN24" s="1111" t="str">
        <f>'Facilitatory data'!G309</f>
        <v/>
      </c>
      <c r="AO24" s="1094"/>
    </row>
    <row r="25" spans="1:41" ht="26">
      <c r="B25" s="1230"/>
      <c r="C25" s="1230"/>
      <c r="E25" s="1021"/>
      <c r="F25" s="1010"/>
      <c r="G25" s="1010"/>
      <c r="H25" s="1010"/>
      <c r="I25" s="1010"/>
      <c r="J25" s="1010"/>
      <c r="K25" s="1010"/>
      <c r="L25" s="1010"/>
      <c r="M25" s="1010"/>
      <c r="N25" s="1010"/>
      <c r="O25" s="1022"/>
      <c r="Q25" s="1021"/>
      <c r="R25" s="1010"/>
      <c r="S25" s="1010"/>
      <c r="T25" s="1010"/>
      <c r="U25" s="1010"/>
      <c r="V25" s="1010"/>
      <c r="W25" s="1010"/>
      <c r="X25" s="1010"/>
      <c r="Y25" s="1010"/>
      <c r="Z25" s="1010"/>
      <c r="AA25" s="1010"/>
      <c r="AB25" s="1022"/>
      <c r="AI25" s="1094"/>
      <c r="AJ25" s="1106" t="s">
        <v>1713</v>
      </c>
      <c r="AK25" s="1112" t="str">
        <f>'Facilitatory data'!G308</f>
        <v/>
      </c>
      <c r="AL25" s="1094" t="str">
        <f>'Facilitatory data'!H308</f>
        <v>km/visitor-day</v>
      </c>
      <c r="AM25" s="1094"/>
      <c r="AN25" s="1111" t="str">
        <f>'Facilitatory data'!G310</f>
        <v/>
      </c>
      <c r="AO25" s="1094"/>
    </row>
    <row r="26" spans="1:41" ht="24">
      <c r="B26" s="1231" t="s">
        <v>1626</v>
      </c>
      <c r="C26" s="1231"/>
      <c r="E26" s="1021"/>
      <c r="F26" s="1010"/>
      <c r="G26" s="1010"/>
      <c r="H26" s="1010"/>
      <c r="I26" s="1010"/>
      <c r="J26" s="1010"/>
      <c r="K26" s="1010"/>
      <c r="L26" s="1010"/>
      <c r="M26" s="1010"/>
      <c r="N26" s="1010"/>
      <c r="O26" s="1022"/>
      <c r="Q26" s="1021"/>
      <c r="R26" s="1010"/>
      <c r="S26" s="1010"/>
      <c r="T26" s="1010"/>
      <c r="U26" s="1010"/>
      <c r="V26" s="1010"/>
      <c r="W26" s="1010"/>
      <c r="X26" s="1010"/>
      <c r="Y26" s="1010"/>
      <c r="Z26" s="1010"/>
      <c r="AA26" s="1010"/>
      <c r="AB26" s="1022"/>
      <c r="AI26" s="1094"/>
      <c r="AJ26" s="1094"/>
      <c r="AK26" s="1094"/>
      <c r="AL26" s="1094"/>
      <c r="AM26" s="1094"/>
      <c r="AN26" s="1094"/>
      <c r="AO26" s="1094"/>
    </row>
    <row r="27" spans="1:41" ht="26">
      <c r="B27" s="1237" t="str">
        <f>'Facilitatory data'!G21</f>
        <v/>
      </c>
      <c r="C27" s="1237"/>
      <c r="E27" s="1021"/>
      <c r="F27" s="1010"/>
      <c r="G27" s="1010"/>
      <c r="H27" s="1010"/>
      <c r="I27" s="1010"/>
      <c r="J27" s="1010"/>
      <c r="K27" s="1010"/>
      <c r="L27" s="1010"/>
      <c r="M27" s="1010"/>
      <c r="N27" s="1010"/>
      <c r="O27" s="1022"/>
      <c r="Q27" s="1021"/>
      <c r="R27" s="1010"/>
      <c r="S27" s="1010"/>
      <c r="T27" s="1010"/>
      <c r="U27" s="1010"/>
      <c r="V27" s="1010"/>
      <c r="W27" s="1010"/>
      <c r="X27" s="1010"/>
      <c r="Y27" s="1010"/>
      <c r="Z27" s="1010"/>
      <c r="AA27" s="1010"/>
      <c r="AB27" s="1022"/>
      <c r="AI27" s="1094"/>
      <c r="AJ27" s="1107" t="s">
        <v>1773</v>
      </c>
      <c r="AK27" s="1093"/>
      <c r="AL27" s="1093"/>
      <c r="AM27" s="1093"/>
      <c r="AN27" s="1094"/>
      <c r="AO27" s="1094"/>
    </row>
    <row r="28" spans="1:41" ht="26">
      <c r="B28" s="1230"/>
      <c r="C28" s="1230"/>
      <c r="E28" s="1021"/>
      <c r="F28" s="1010"/>
      <c r="G28" s="1010"/>
      <c r="H28" s="1010"/>
      <c r="I28" s="1010"/>
      <c r="J28" s="1010"/>
      <c r="K28" s="1010"/>
      <c r="L28" s="1010"/>
      <c r="M28" s="1010"/>
      <c r="N28" s="1010"/>
      <c r="O28" s="1022"/>
      <c r="Q28" s="1021"/>
      <c r="R28" s="1010"/>
      <c r="S28" s="1010"/>
      <c r="T28" s="1010"/>
      <c r="U28" s="1010"/>
      <c r="V28" s="1010"/>
      <c r="W28" s="1010"/>
      <c r="X28" s="1010"/>
      <c r="Y28" s="1010"/>
      <c r="Z28" s="1010"/>
      <c r="AA28" s="1010"/>
      <c r="AB28" s="1022"/>
      <c r="AI28" s="1094"/>
      <c r="AJ28" s="1106" t="s">
        <v>1774</v>
      </c>
      <c r="AK28" s="1110" t="str">
        <f>'Facilitatory data'!G325</f>
        <v/>
      </c>
      <c r="AL28" s="1094" t="str">
        <f>'Facilitatory data'!H325</f>
        <v>litres/visitor-day</v>
      </c>
      <c r="AM28" s="1093"/>
      <c r="AN28" s="1111" t="str">
        <f>'Facilitatory data'!G327</f>
        <v/>
      </c>
      <c r="AO28" s="1094"/>
    </row>
    <row r="29" spans="1:41" ht="26">
      <c r="B29" s="1231" t="s">
        <v>1627</v>
      </c>
      <c r="C29" s="1231"/>
      <c r="E29" s="1021"/>
      <c r="F29" s="1010"/>
      <c r="G29" s="1010"/>
      <c r="H29" s="1010"/>
      <c r="I29" s="1010"/>
      <c r="J29" s="1010"/>
      <c r="K29" s="1010"/>
      <c r="L29" s="1010"/>
      <c r="M29" s="1010"/>
      <c r="N29" s="1010"/>
      <c r="O29" s="1022"/>
      <c r="Q29" s="1021"/>
      <c r="R29" s="1010"/>
      <c r="S29" s="1010"/>
      <c r="T29" s="1010"/>
      <c r="U29" s="1010"/>
      <c r="V29" s="1010"/>
      <c r="W29" s="1010"/>
      <c r="X29" s="1010"/>
      <c r="Y29" s="1010"/>
      <c r="Z29" s="1010"/>
      <c r="AA29" s="1010"/>
      <c r="AB29" s="1022"/>
      <c r="AI29" s="1094"/>
      <c r="AJ29" s="1106" t="s">
        <v>1775</v>
      </c>
      <c r="AK29" s="1110" t="str">
        <f>'Facilitatory data'!G326</f>
        <v/>
      </c>
      <c r="AL29" s="1094" t="str">
        <f>'Facilitatory data'!H326</f>
        <v>litres/visitor-day</v>
      </c>
      <c r="AM29" s="1093"/>
      <c r="AN29" s="1111" t="str">
        <f>'Facilitatory data'!G328</f>
        <v/>
      </c>
      <c r="AO29" s="1094"/>
    </row>
    <row r="30" spans="1:41" ht="26">
      <c r="A30" s="1028"/>
      <c r="B30" s="1233">
        <f>'Input sheet'!D43</f>
        <v>0</v>
      </c>
      <c r="C30" s="1233"/>
      <c r="E30" s="1021"/>
      <c r="F30" s="1010"/>
      <c r="G30" s="1010"/>
      <c r="H30" s="1010"/>
      <c r="I30" s="1010"/>
      <c r="J30" s="1010"/>
      <c r="K30" s="1010"/>
      <c r="L30" s="1010"/>
      <c r="M30" s="1010"/>
      <c r="N30" s="1010"/>
      <c r="O30" s="1022"/>
      <c r="Q30" s="1021"/>
      <c r="R30" s="1010"/>
      <c r="S30" s="1010"/>
      <c r="T30" s="1010"/>
      <c r="U30" s="1010"/>
      <c r="V30" s="1010"/>
      <c r="W30" s="1010"/>
      <c r="X30" s="1010"/>
      <c r="Y30" s="1010"/>
      <c r="Z30" s="1010"/>
      <c r="AA30" s="1010"/>
      <c r="AB30" s="1022"/>
      <c r="AI30" s="1094"/>
      <c r="AJ30" s="1094"/>
      <c r="AK30" s="1094"/>
      <c r="AL30" s="1094"/>
      <c r="AM30" s="1094"/>
      <c r="AN30" s="1094"/>
      <c r="AO30" s="1094"/>
    </row>
    <row r="31" spans="1:41" ht="26">
      <c r="B31" s="1230"/>
      <c r="C31" s="1230"/>
      <c r="E31" s="1021"/>
      <c r="F31" s="1010"/>
      <c r="G31" s="1010"/>
      <c r="H31" s="1010"/>
      <c r="I31" s="1010"/>
      <c r="J31" s="1010"/>
      <c r="K31" s="1010"/>
      <c r="L31" s="1010"/>
      <c r="M31" s="1010"/>
      <c r="N31" s="1010"/>
      <c r="O31" s="1022"/>
      <c r="Q31" s="1021"/>
      <c r="R31" s="1010"/>
      <c r="S31" s="1010"/>
      <c r="T31" s="1010"/>
      <c r="U31" s="1010"/>
      <c r="V31" s="1010"/>
      <c r="W31" s="1010"/>
      <c r="X31" s="1010"/>
      <c r="Y31" s="1010"/>
      <c r="Z31" s="1010"/>
      <c r="AA31" s="1010"/>
      <c r="AB31" s="1022"/>
      <c r="AI31" s="1094"/>
      <c r="AJ31" s="1107" t="s">
        <v>1792</v>
      </c>
      <c r="AK31" s="1094"/>
      <c r="AL31" s="1094"/>
      <c r="AM31" s="1094"/>
      <c r="AN31" s="1094"/>
      <c r="AO31" s="1094"/>
    </row>
    <row r="32" spans="1:41" ht="26">
      <c r="B32" s="1231" t="s">
        <v>1628</v>
      </c>
      <c r="C32" s="1231"/>
      <c r="E32" s="1021"/>
      <c r="F32" s="1010"/>
      <c r="G32" s="1010"/>
      <c r="H32" s="1010"/>
      <c r="I32" s="1010"/>
      <c r="J32" s="1010"/>
      <c r="K32" s="1010"/>
      <c r="L32" s="1010"/>
      <c r="M32" s="1010"/>
      <c r="N32" s="1010"/>
      <c r="O32" s="1022"/>
      <c r="Q32" s="1021"/>
      <c r="R32" s="1010"/>
      <c r="S32" s="1010"/>
      <c r="T32" s="1010"/>
      <c r="U32" s="1010"/>
      <c r="V32" s="1010"/>
      <c r="W32" s="1010"/>
      <c r="X32" s="1010"/>
      <c r="Y32" s="1010"/>
      <c r="Z32" s="1010"/>
      <c r="AA32" s="1010"/>
      <c r="AB32" s="1022"/>
      <c r="AI32" s="1094"/>
      <c r="AJ32" s="1106" t="s">
        <v>1755</v>
      </c>
      <c r="AK32" s="1110" t="str">
        <f>'Facilitatory data'!G317</f>
        <v/>
      </c>
      <c r="AL32" s="1094" t="str">
        <f>'Facilitatory data'!H317</f>
        <v>kg CO2-eq/meal</v>
      </c>
      <c r="AM32" s="1094"/>
      <c r="AN32" s="1094"/>
      <c r="AO32" s="1094"/>
    </row>
    <row r="33" spans="1:41" ht="26">
      <c r="B33" s="1233">
        <f>'Input sheet'!D44</f>
        <v>0</v>
      </c>
      <c r="C33" s="1233"/>
      <c r="E33" s="1021"/>
      <c r="F33" s="1010"/>
      <c r="G33" s="1010"/>
      <c r="H33" s="1010"/>
      <c r="I33" s="1010"/>
      <c r="J33" s="1010"/>
      <c r="K33" s="1010"/>
      <c r="L33" s="1010"/>
      <c r="M33" s="1010"/>
      <c r="N33" s="1010"/>
      <c r="O33" s="1022"/>
      <c r="Q33" s="1021"/>
      <c r="R33" s="1010"/>
      <c r="S33" s="1010"/>
      <c r="T33" s="1010"/>
      <c r="U33" s="1010"/>
      <c r="V33" s="1010"/>
      <c r="W33" s="1010"/>
      <c r="X33" s="1010"/>
      <c r="Y33" s="1010"/>
      <c r="Z33" s="1010"/>
      <c r="AA33" s="1010"/>
      <c r="AB33" s="1022"/>
      <c r="AI33" s="1094"/>
      <c r="AJ33" s="1106" t="s">
        <v>1171</v>
      </c>
      <c r="AK33" s="1110" t="str">
        <f>'Facilitatory data'!G321</f>
        <v/>
      </c>
      <c r="AL33" s="1094" t="str">
        <f>'Facilitatory data'!H321</f>
        <v>kg CO2-eq/litre</v>
      </c>
      <c r="AM33" s="1094"/>
      <c r="AN33" s="1094"/>
      <c r="AO33" s="1094"/>
    </row>
    <row r="34" spans="1:41" ht="26">
      <c r="B34" s="1230"/>
      <c r="C34" s="1230"/>
      <c r="E34" s="1021"/>
      <c r="F34" s="1010"/>
      <c r="G34" s="1010"/>
      <c r="H34" s="1010"/>
      <c r="I34" s="1010"/>
      <c r="J34" s="1010"/>
      <c r="K34" s="1010"/>
      <c r="L34" s="1010"/>
      <c r="M34" s="1010"/>
      <c r="N34" s="1010"/>
      <c r="O34" s="1022"/>
      <c r="Q34" s="1021"/>
      <c r="R34" s="1010"/>
      <c r="S34" s="1010"/>
      <c r="T34" s="1010"/>
      <c r="U34" s="1010"/>
      <c r="V34" s="1010"/>
      <c r="W34" s="1010"/>
      <c r="X34" s="1010"/>
      <c r="Y34" s="1010"/>
      <c r="Z34" s="1010"/>
      <c r="AA34" s="1010"/>
      <c r="AB34" s="1022"/>
      <c r="AI34" s="1094"/>
      <c r="AJ34" s="1094"/>
      <c r="AK34" s="1094"/>
      <c r="AL34" s="1094"/>
      <c r="AM34" s="1094"/>
      <c r="AN34" s="1094"/>
      <c r="AO34" s="1094"/>
    </row>
    <row r="35" spans="1:41" ht="26">
      <c r="B35" s="1230"/>
      <c r="C35" s="1230"/>
      <c r="E35" s="1021"/>
      <c r="F35" s="1010"/>
      <c r="G35" s="1010"/>
      <c r="H35" s="1010"/>
      <c r="I35" s="1010"/>
      <c r="J35" s="1010"/>
      <c r="K35" s="1010"/>
      <c r="L35" s="1010"/>
      <c r="M35" s="1010"/>
      <c r="N35" s="1010"/>
      <c r="O35" s="1022"/>
      <c r="Q35" s="1021"/>
      <c r="R35" s="1010"/>
      <c r="S35" s="1010"/>
      <c r="T35" s="1010"/>
      <c r="U35" s="1010"/>
      <c r="V35" s="1010"/>
      <c r="W35" s="1010"/>
      <c r="X35" s="1010"/>
      <c r="Y35" s="1010"/>
      <c r="Z35" s="1010"/>
      <c r="AA35" s="1010"/>
      <c r="AB35" s="1022"/>
      <c r="AI35" s="1094"/>
      <c r="AJ35" s="1107" t="s">
        <v>1781</v>
      </c>
      <c r="AK35" s="1094"/>
      <c r="AL35" s="1094"/>
      <c r="AM35" s="1094"/>
      <c r="AN35" s="1094"/>
      <c r="AO35" s="1094"/>
    </row>
    <row r="36" spans="1:41" ht="26">
      <c r="B36" s="1230"/>
      <c r="C36" s="1230"/>
      <c r="E36" s="1025"/>
      <c r="F36" s="1026"/>
      <c r="G36" s="1026"/>
      <c r="H36" s="1026"/>
      <c r="I36" s="1026"/>
      <c r="J36" s="1026"/>
      <c r="K36" s="1026"/>
      <c r="L36" s="1026"/>
      <c r="M36" s="1026"/>
      <c r="N36" s="1026"/>
      <c r="O36" s="1027"/>
      <c r="Q36" s="1025"/>
      <c r="R36" s="1026"/>
      <c r="S36" s="1026"/>
      <c r="T36" s="1026"/>
      <c r="U36" s="1026"/>
      <c r="V36" s="1026"/>
      <c r="W36" s="1026"/>
      <c r="X36" s="1026"/>
      <c r="Y36" s="1026"/>
      <c r="Z36" s="1026"/>
      <c r="AA36" s="1026"/>
      <c r="AB36" s="1027"/>
      <c r="AI36" s="1094"/>
      <c r="AJ36" s="1106" t="s">
        <v>1783</v>
      </c>
      <c r="AK36" s="1110" t="str">
        <f>'Facilitatory data'!G335</f>
        <v/>
      </c>
      <c r="AL36" s="1094" t="str">
        <f>'Facilitatory data'!H335</f>
        <v>kg CO2-eq/stay</v>
      </c>
      <c r="AM36" s="1094"/>
      <c r="AN36" s="1094"/>
      <c r="AO36" s="1094"/>
    </row>
    <row r="37" spans="1:41" ht="26">
      <c r="B37" s="1230"/>
      <c r="C37" s="1230"/>
      <c r="AI37" s="1094"/>
      <c r="AJ37" s="1094"/>
      <c r="AK37" s="1094"/>
      <c r="AL37" s="1094"/>
      <c r="AM37" s="1094"/>
      <c r="AN37" s="1094"/>
      <c r="AO37" s="1094"/>
    </row>
    <row r="38" spans="1:41" ht="16.5" customHeight="1">
      <c r="B38" s="1230"/>
      <c r="C38" s="1230"/>
      <c r="F38" s="1100" t="s">
        <v>1708</v>
      </c>
      <c r="AI38" s="1094"/>
      <c r="AJ38" s="1094"/>
      <c r="AK38" s="1094"/>
      <c r="AL38" s="1094"/>
      <c r="AM38" s="1094"/>
      <c r="AN38" s="1094"/>
      <c r="AO38" s="1094"/>
    </row>
    <row r="39" spans="1:41" ht="26">
      <c r="B39" s="1230"/>
      <c r="C39" s="1230"/>
      <c r="AI39" s="1094"/>
      <c r="AJ39" s="1094"/>
      <c r="AK39" s="1094"/>
      <c r="AL39" s="1094"/>
      <c r="AM39" s="1094"/>
      <c r="AN39" s="1094"/>
      <c r="AO39" s="1094"/>
    </row>
    <row r="40" spans="1:41" ht="12.75" customHeight="1">
      <c r="B40" s="1230"/>
      <c r="C40" s="1230"/>
      <c r="AI40" s="1094"/>
      <c r="AJ40" s="1094"/>
      <c r="AK40" s="1094"/>
      <c r="AL40" s="1094"/>
      <c r="AM40" s="1094"/>
      <c r="AN40" s="1094"/>
      <c r="AO40" s="1094"/>
    </row>
    <row r="41" spans="1:41" ht="26">
      <c r="B41" s="1230"/>
      <c r="C41" s="1230"/>
      <c r="AI41" s="1093"/>
      <c r="AJ41" s="1093"/>
      <c r="AK41" s="1093"/>
      <c r="AL41" s="1093"/>
      <c r="AM41" s="1093"/>
      <c r="AN41" s="1093"/>
      <c r="AO41" s="1093"/>
    </row>
    <row r="42" spans="1:41" ht="26">
      <c r="A42" s="1028"/>
      <c r="B42" s="1230"/>
      <c r="C42" s="1230"/>
      <c r="AI42" s="1100"/>
      <c r="AJ42" s="1100"/>
      <c r="AK42" s="1100"/>
      <c r="AL42" s="1100"/>
      <c r="AM42" s="1100"/>
      <c r="AN42" s="1100"/>
      <c r="AO42" s="1100"/>
    </row>
    <row r="43" spans="1:41" ht="26" customHeight="1">
      <c r="B43" s="1230"/>
      <c r="C43" s="1230"/>
      <c r="D43" s="1228" t="s">
        <v>1916</v>
      </c>
      <c r="E43" s="1229"/>
      <c r="F43" s="1229"/>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row>
    <row r="44" spans="1:41" ht="26">
      <c r="B44" s="1230"/>
      <c r="C44" s="1230"/>
      <c r="D44" s="1229"/>
      <c r="E44" s="1229"/>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row>
    <row r="45" spans="1:41" ht="26">
      <c r="B45" s="1230"/>
      <c r="C45" s="1230"/>
    </row>
    <row r="46" spans="1:41" ht="26">
      <c r="B46" s="1230"/>
      <c r="C46" s="1230"/>
    </row>
    <row r="47" spans="1:41" ht="26">
      <c r="A47" s="1024"/>
      <c r="B47" s="1230"/>
      <c r="C47" s="1230"/>
    </row>
    <row r="48" spans="1:41" ht="26">
      <c r="A48" s="1028"/>
      <c r="B48" s="1230"/>
      <c r="C48" s="1230"/>
    </row>
    <row r="49" spans="1:3" ht="26" hidden="1">
      <c r="B49" s="1230"/>
      <c r="C49" s="1230"/>
    </row>
    <row r="50" spans="1:3" ht="26" hidden="1">
      <c r="B50" s="1230"/>
      <c r="C50" s="1230"/>
    </row>
    <row r="51" spans="1:3" ht="26" hidden="1">
      <c r="B51" s="1230"/>
      <c r="C51" s="1230"/>
    </row>
    <row r="52" spans="1:3" ht="26" hidden="1">
      <c r="B52" s="1230"/>
      <c r="C52" s="1230"/>
    </row>
    <row r="53" spans="1:3" ht="26" hidden="1">
      <c r="B53" s="1230"/>
      <c r="C53" s="1230"/>
    </row>
    <row r="54" spans="1:3" ht="26" hidden="1">
      <c r="A54" s="1028"/>
      <c r="B54" s="1230"/>
      <c r="C54" s="1230"/>
    </row>
    <row r="55" spans="1:3" ht="26" hidden="1">
      <c r="B55" s="1230"/>
      <c r="C55" s="1230"/>
    </row>
    <row r="56" spans="1:3" ht="26" hidden="1">
      <c r="B56" s="1230"/>
      <c r="C56" s="1230"/>
    </row>
    <row r="57" spans="1:3" ht="26" hidden="1">
      <c r="B57" s="1230"/>
      <c r="C57" s="1230"/>
    </row>
    <row r="58" spans="1:3" ht="26" hidden="1">
      <c r="B58" s="1230"/>
      <c r="C58" s="1230"/>
    </row>
    <row r="59" spans="1:3" ht="26" hidden="1">
      <c r="B59" s="1230"/>
      <c r="C59" s="1230"/>
    </row>
    <row r="60" spans="1:3" ht="26" hidden="1">
      <c r="B60" s="1230"/>
      <c r="C60" s="1230"/>
    </row>
    <row r="61" spans="1:3" ht="26" hidden="1">
      <c r="B61" s="1230"/>
      <c r="C61" s="1230"/>
    </row>
    <row r="62" spans="1:3" ht="26" hidden="1">
      <c r="B62" s="1230"/>
      <c r="C62" s="1230"/>
    </row>
    <row r="63" spans="1:3" ht="26" hidden="1">
      <c r="A63" s="1024"/>
      <c r="B63" s="1008"/>
      <c r="C63" s="1008"/>
    </row>
    <row r="64" spans="1:3" ht="26" hidden="1">
      <c r="B64" s="1008"/>
      <c r="C64" s="1008"/>
    </row>
    <row r="65" spans="1:1" ht="21" hidden="1">
      <c r="A65" s="1028"/>
    </row>
    <row r="66" spans="1:1" ht="19" hidden="1">
      <c r="A66" s="1029"/>
    </row>
    <row r="91" spans="1:1" ht="21" hidden="1">
      <c r="A91" s="1028"/>
    </row>
    <row r="92" spans="1:1" ht="19" hidden="1">
      <c r="A92" s="1029"/>
    </row>
    <row r="101" spans="1:1" ht="19" hidden="1">
      <c r="A101" s="1029"/>
    </row>
    <row r="113" spans="1:1" ht="19" hidden="1">
      <c r="A113" s="1029"/>
    </row>
    <row r="124" spans="1:1" ht="19" hidden="1">
      <c r="A124" s="1029"/>
    </row>
    <row r="130" spans="1:1" ht="24" hidden="1">
      <c r="A130" s="1030"/>
    </row>
    <row r="132" spans="1:1" ht="21" hidden="1">
      <c r="A132" s="1028"/>
    </row>
    <row r="133" spans="1:1" ht="19" hidden="1">
      <c r="A133" s="1029"/>
    </row>
    <row r="145" spans="1:1" ht="19" hidden="1">
      <c r="A145" s="1029"/>
    </row>
    <row r="162" spans="1:1" ht="19" hidden="1">
      <c r="A162" s="1029"/>
    </row>
    <row r="165" spans="1:1" ht="19" hidden="1">
      <c r="A165" s="1029"/>
    </row>
    <row r="173" spans="1:1" ht="21" hidden="1">
      <c r="A173" s="1028"/>
    </row>
    <row r="174" spans="1:1" ht="19" hidden="1">
      <c r="A174" s="1029"/>
    </row>
    <row r="203" spans="1:1" ht="19" hidden="1">
      <c r="A203" s="1029"/>
    </row>
    <row r="206" spans="1:1" ht="19" hidden="1">
      <c r="A206" s="1029"/>
    </row>
    <row r="214" spans="1:1" ht="21" hidden="1">
      <c r="A214" s="1028"/>
    </row>
    <row r="215" spans="1:1" ht="19" hidden="1">
      <c r="A215" s="1029"/>
    </row>
    <row r="227" spans="1:1" ht="19" hidden="1">
      <c r="A227" s="1029"/>
    </row>
    <row r="244" spans="1:1" ht="19" hidden="1">
      <c r="A244" s="1029"/>
    </row>
    <row r="247" spans="1:1" ht="19" hidden="1">
      <c r="A247" s="1029"/>
    </row>
    <row r="255" spans="1:1" ht="21" hidden="1">
      <c r="A255" s="1028"/>
    </row>
    <row r="265" spans="1:1" ht="21" hidden="1">
      <c r="A265" s="1028"/>
    </row>
    <row r="275" spans="1:1" ht="21" hidden="1">
      <c r="A275" s="1028"/>
    </row>
    <row r="280" spans="1:1" ht="24" hidden="1">
      <c r="A280" s="1024"/>
    </row>
    <row r="287" spans="1:1" ht="24" hidden="1">
      <c r="A287" s="1024"/>
    </row>
    <row r="289" spans="1:1" ht="21" hidden="1">
      <c r="A289" s="1031"/>
    </row>
    <row r="290" spans="1:1" ht="19" hidden="1">
      <c r="A290" s="1029"/>
    </row>
    <row r="294" spans="1:1" ht="19" hidden="1">
      <c r="A294" s="1029"/>
    </row>
    <row r="303" spans="1:1" ht="19" hidden="1">
      <c r="A303" s="1029"/>
    </row>
    <row r="309" spans="1:1" ht="21" hidden="1">
      <c r="A309" s="1031"/>
    </row>
    <row r="310" spans="1:1" ht="19" hidden="1">
      <c r="A310" s="1029"/>
    </row>
    <row r="314" spans="1:1" ht="19" hidden="1">
      <c r="A314" s="1029"/>
    </row>
    <row r="359" spans="1:1" ht="24" hidden="1">
      <c r="A359" s="1024"/>
    </row>
    <row r="360" spans="1:1" ht="21" hidden="1">
      <c r="A360" s="1028"/>
    </row>
    <row r="362" spans="1:1" ht="21" hidden="1">
      <c r="A362" s="1028"/>
    </row>
    <row r="371" spans="1:1" ht="24" hidden="1">
      <c r="A371" s="1024"/>
    </row>
    <row r="380" spans="1:1" ht="24" hidden="1">
      <c r="A380" s="1024"/>
    </row>
  </sheetData>
  <mergeCells count="60">
    <mergeCell ref="B59:C59"/>
    <mergeCell ref="B60:C60"/>
    <mergeCell ref="B61:C61"/>
    <mergeCell ref="B62:C62"/>
    <mergeCell ref="S1:AB2"/>
    <mergeCell ref="B53:C53"/>
    <mergeCell ref="B54:C54"/>
    <mergeCell ref="B55:C55"/>
    <mergeCell ref="B56:C56"/>
    <mergeCell ref="B57:C57"/>
    <mergeCell ref="B58:C58"/>
    <mergeCell ref="B47:C47"/>
    <mergeCell ref="B48:C48"/>
    <mergeCell ref="B49:C49"/>
    <mergeCell ref="B50:C50"/>
    <mergeCell ref="B51:C51"/>
    <mergeCell ref="B52:C52"/>
    <mergeCell ref="B41:C41"/>
    <mergeCell ref="B42:C42"/>
    <mergeCell ref="B43:C43"/>
    <mergeCell ref="B44:C44"/>
    <mergeCell ref="B45:C45"/>
    <mergeCell ref="B46:C46"/>
    <mergeCell ref="B35:C35"/>
    <mergeCell ref="B36:C36"/>
    <mergeCell ref="B37:C37"/>
    <mergeCell ref="B38:C38"/>
    <mergeCell ref="B39:C39"/>
    <mergeCell ref="AI8:AO9"/>
    <mergeCell ref="B28:C28"/>
    <mergeCell ref="B17:C17"/>
    <mergeCell ref="B18:C18"/>
    <mergeCell ref="B20:C20"/>
    <mergeCell ref="B21:C21"/>
    <mergeCell ref="B22:C22"/>
    <mergeCell ref="B23:C23"/>
    <mergeCell ref="B24:C24"/>
    <mergeCell ref="B25:C25"/>
    <mergeCell ref="B26:C26"/>
    <mergeCell ref="B27:C27"/>
    <mergeCell ref="B16:C16"/>
    <mergeCell ref="B10:C10"/>
    <mergeCell ref="B11:C11"/>
    <mergeCell ref="B12:C12"/>
    <mergeCell ref="D43:AG44"/>
    <mergeCell ref="B13:C13"/>
    <mergeCell ref="B14:C14"/>
    <mergeCell ref="B15:C15"/>
    <mergeCell ref="B5:C5"/>
    <mergeCell ref="B6:C6"/>
    <mergeCell ref="B7:C7"/>
    <mergeCell ref="B8:C8"/>
    <mergeCell ref="B9:C9"/>
    <mergeCell ref="B40:C40"/>
    <mergeCell ref="B29:C29"/>
    <mergeCell ref="B30:C30"/>
    <mergeCell ref="B31:C31"/>
    <mergeCell ref="B32:C32"/>
    <mergeCell ref="B33:C33"/>
    <mergeCell ref="B34:C3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BE18-8A4F-4F6C-89CC-CA8D17981C7D}">
  <sheetPr codeName="Sheet5">
    <tabColor rgb="FFA8D08D"/>
  </sheetPr>
  <dimension ref="A1:BC396"/>
  <sheetViews>
    <sheetView zoomScale="67" zoomScaleNormal="67" workbookViewId="0"/>
  </sheetViews>
  <sheetFormatPr baseColWidth="10" defaultColWidth="0" defaultRowHeight="16" zeroHeight="1"/>
  <cols>
    <col min="1" max="1" width="2.6640625" style="1066" customWidth="1"/>
    <col min="2" max="2" width="8.33203125" style="1079" customWidth="1"/>
    <col min="3" max="3" width="49.83203125" style="1079" customWidth="1"/>
    <col min="4" max="43" width="9" style="1079" customWidth="1"/>
    <col min="44" max="55" width="0" style="1079" hidden="1" customWidth="1"/>
    <col min="56" max="16384" width="9" style="1079" hidden="1"/>
  </cols>
  <sheetData>
    <row r="1" spans="1:55" s="1071" customFormat="1" ht="34">
      <c r="A1" s="1066"/>
      <c r="B1" s="1067"/>
      <c r="C1" s="1067"/>
      <c r="D1" s="1067" t="s">
        <v>1630</v>
      </c>
      <c r="E1" s="1068"/>
      <c r="F1" s="1069"/>
      <c r="G1" s="1067"/>
      <c r="H1" s="1067"/>
      <c r="I1" s="1067"/>
      <c r="J1" s="1070"/>
      <c r="K1" s="1070"/>
      <c r="L1" s="1070"/>
      <c r="M1" s="1070"/>
      <c r="N1" s="1069"/>
      <c r="O1" s="1070"/>
      <c r="P1" s="1070"/>
      <c r="Q1" s="1070"/>
      <c r="R1" s="1070"/>
      <c r="S1" s="1247">
        <f>'Input sheet'!D18</f>
        <v>0</v>
      </c>
      <c r="T1" s="1247"/>
      <c r="U1" s="1247"/>
      <c r="V1" s="1247"/>
      <c r="W1" s="1247"/>
      <c r="X1" s="1247"/>
      <c r="Y1" s="1247"/>
      <c r="Z1" s="1247"/>
      <c r="AA1" s="1247"/>
      <c r="AB1" s="1247"/>
      <c r="AC1" s="1069"/>
      <c r="AF1" s="1069" t="s">
        <v>1658</v>
      </c>
    </row>
    <row r="2" spans="1:55" s="1071" customFormat="1" ht="21">
      <c r="A2" s="1066"/>
      <c r="B2" s="1072"/>
      <c r="C2" s="1073"/>
      <c r="D2" s="1073" t="s">
        <v>1631</v>
      </c>
      <c r="E2" s="1074"/>
      <c r="F2" s="1075"/>
      <c r="G2" s="1075"/>
      <c r="H2" s="1075"/>
      <c r="I2" s="1075"/>
      <c r="J2" s="1076"/>
      <c r="K2" s="1076"/>
      <c r="L2" s="1076"/>
      <c r="M2" s="1076"/>
      <c r="N2" s="1076"/>
      <c r="O2" s="1076"/>
      <c r="P2" s="1076"/>
      <c r="Q2" s="1076"/>
      <c r="R2" s="1076"/>
      <c r="S2" s="1247"/>
      <c r="T2" s="1247"/>
      <c r="U2" s="1247"/>
      <c r="V2" s="1247"/>
      <c r="W2" s="1247"/>
      <c r="X2" s="1247"/>
      <c r="Y2" s="1247"/>
      <c r="Z2" s="1247"/>
      <c r="AA2" s="1247"/>
      <c r="AB2" s="1247"/>
      <c r="AF2" s="1091" t="s">
        <v>1816</v>
      </c>
    </row>
    <row r="3" spans="1:55" s="1071" customFormat="1" ht="21">
      <c r="A3" s="1066"/>
      <c r="B3" s="1072"/>
      <c r="C3" s="1073"/>
      <c r="D3" s="1074"/>
      <c r="E3" s="1074"/>
      <c r="F3" s="1075"/>
      <c r="G3" s="1075"/>
      <c r="H3" s="1075"/>
      <c r="I3" s="1075"/>
      <c r="J3" s="1076"/>
      <c r="K3" s="1076"/>
      <c r="L3" s="1076"/>
      <c r="M3" s="1076"/>
      <c r="N3" s="1076"/>
      <c r="O3" s="1076"/>
      <c r="P3" s="1076"/>
      <c r="Q3" s="1076"/>
      <c r="R3" s="1076"/>
      <c r="S3" s="1076"/>
      <c r="T3" s="1076"/>
      <c r="U3" s="1076"/>
      <c r="V3" s="1076"/>
      <c r="W3" s="1076"/>
    </row>
    <row r="4" spans="1:55" ht="30" thickBot="1">
      <c r="A4" s="1077"/>
      <c r="B4" s="1078" t="s">
        <v>1629</v>
      </c>
      <c r="D4" s="1080" t="s">
        <v>1709</v>
      </c>
      <c r="E4" s="1081"/>
      <c r="F4" s="1081"/>
      <c r="G4" s="1081"/>
      <c r="H4" s="1081"/>
      <c r="I4" s="1081"/>
      <c r="J4" s="1082"/>
      <c r="K4" s="1082"/>
      <c r="L4" s="1082"/>
      <c r="M4" s="1082"/>
      <c r="N4" s="1082"/>
      <c r="O4" s="1082"/>
      <c r="P4" s="1082"/>
      <c r="Q4" s="1082"/>
      <c r="R4" s="1082"/>
      <c r="S4" s="1082"/>
      <c r="T4" s="1082"/>
      <c r="U4" s="1082"/>
      <c r="V4" s="1082"/>
      <c r="W4" s="1082"/>
      <c r="X4" s="1082"/>
      <c r="Y4" s="1082"/>
      <c r="Z4" s="1082"/>
      <c r="AA4" s="1082"/>
      <c r="AB4" s="1082"/>
      <c r="AC4" s="1082"/>
      <c r="AD4" s="1082"/>
      <c r="AE4" s="1082"/>
      <c r="AF4" s="1082"/>
      <c r="AG4" s="1082"/>
      <c r="AH4" s="1082"/>
      <c r="AI4" s="1082"/>
      <c r="AJ4" s="1082"/>
      <c r="AK4" s="1082"/>
      <c r="AL4" s="1082"/>
      <c r="AM4" s="1082"/>
      <c r="AN4" s="1082"/>
      <c r="AO4" s="1082"/>
      <c r="AP4" s="1082"/>
      <c r="AQ4" s="1082"/>
    </row>
    <row r="5" spans="1:55" ht="27" customHeight="1">
      <c r="B5" s="1241" t="s">
        <v>1619</v>
      </c>
      <c r="C5" s="1241"/>
      <c r="D5" s="1083" t="s">
        <v>1813</v>
      </c>
      <c r="E5" s="1134"/>
      <c r="F5" s="1134"/>
      <c r="G5" s="1134"/>
      <c r="H5" s="1134"/>
      <c r="I5" s="1134"/>
      <c r="J5" s="1066"/>
      <c r="K5" s="1066"/>
      <c r="L5" s="1066"/>
      <c r="M5" s="1066"/>
      <c r="N5" s="1066"/>
      <c r="O5" s="1066"/>
      <c r="P5" s="1066"/>
      <c r="Q5" s="1066"/>
      <c r="R5" s="1066"/>
      <c r="S5" s="1066"/>
      <c r="T5" s="1066"/>
      <c r="U5" s="1066"/>
      <c r="V5" s="1066"/>
      <c r="W5" s="1066"/>
      <c r="X5" s="1066"/>
      <c r="Y5" s="1066"/>
      <c r="Z5" s="1066"/>
      <c r="AA5" s="1066"/>
      <c r="AB5" s="1066"/>
      <c r="AC5" s="1066"/>
      <c r="AD5" s="1066"/>
      <c r="AE5" s="1066"/>
      <c r="AF5" s="1066"/>
      <c r="AG5" s="1066"/>
      <c r="AH5" s="1066"/>
      <c r="AI5" s="1066"/>
      <c r="AJ5" s="1066"/>
      <c r="AK5" s="1066"/>
      <c r="AL5" s="1066"/>
      <c r="AM5" s="1066"/>
      <c r="AN5" s="1066"/>
      <c r="AO5" s="1066"/>
      <c r="AP5" s="1066"/>
      <c r="AQ5" s="1066"/>
    </row>
    <row r="6" spans="1:55" ht="27" customHeight="1" thickBot="1">
      <c r="B6" s="1248">
        <f>'Input sheet'!D19</f>
        <v>0</v>
      </c>
      <c r="C6" s="1248"/>
      <c r="D6" s="1135" t="s">
        <v>1814</v>
      </c>
      <c r="E6" s="1082"/>
      <c r="F6" s="1082"/>
      <c r="G6" s="1082"/>
      <c r="H6" s="1082"/>
      <c r="I6" s="1082"/>
      <c r="J6" s="1082"/>
      <c r="K6" s="1082"/>
      <c r="L6" s="1082"/>
      <c r="M6" s="1082"/>
      <c r="N6" s="1082"/>
      <c r="O6" s="1082"/>
      <c r="P6" s="1082"/>
      <c r="Q6" s="1082"/>
      <c r="R6" s="1082"/>
      <c r="S6" s="1082"/>
      <c r="T6" s="1082"/>
      <c r="U6" s="1082"/>
      <c r="V6" s="1082"/>
      <c r="W6" s="1082"/>
      <c r="X6" s="1082"/>
      <c r="Y6" s="1082"/>
      <c r="Z6" s="1082"/>
      <c r="AA6" s="1082"/>
      <c r="AB6" s="1082"/>
      <c r="AC6" s="1082"/>
      <c r="AD6" s="1082"/>
      <c r="AE6" s="1082"/>
      <c r="AF6" s="1082"/>
      <c r="AG6" s="1082"/>
      <c r="AH6" s="1082"/>
      <c r="AI6" s="1082"/>
      <c r="AJ6" s="1082"/>
      <c r="AK6" s="1082"/>
      <c r="AL6" s="1082"/>
      <c r="AM6" s="1082"/>
      <c r="AN6" s="1082"/>
      <c r="AO6" s="1082"/>
      <c r="AP6" s="1082"/>
      <c r="AQ6" s="1082"/>
      <c r="AW6" s="1246"/>
      <c r="AX6" s="1246"/>
      <c r="AY6" s="1246"/>
      <c r="AZ6" s="1246"/>
      <c r="BA6" s="1246"/>
      <c r="BB6" s="1246"/>
      <c r="BC6" s="1246"/>
    </row>
    <row r="7" spans="1:55" ht="27" customHeight="1">
      <c r="B7" s="1239"/>
      <c r="C7" s="1239"/>
      <c r="D7" s="1066"/>
      <c r="E7" s="1066"/>
      <c r="F7" s="1066"/>
      <c r="G7" s="1066"/>
      <c r="H7" s="1066"/>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W7" s="1246"/>
      <c r="AX7" s="1246"/>
      <c r="AY7" s="1246"/>
      <c r="AZ7" s="1246"/>
      <c r="BA7" s="1246"/>
      <c r="BB7" s="1246"/>
      <c r="BC7" s="1246"/>
    </row>
    <row r="8" spans="1:55" ht="24">
      <c r="B8" s="1241" t="s">
        <v>1620</v>
      </c>
      <c r="C8" s="1241"/>
      <c r="D8" s="1117" t="s">
        <v>1793</v>
      </c>
      <c r="E8" s="1118"/>
      <c r="F8" s="1118"/>
      <c r="G8" s="1118"/>
      <c r="H8" s="1115"/>
      <c r="I8" s="1115"/>
      <c r="J8" s="1115"/>
      <c r="K8" s="1115"/>
      <c r="L8" s="1115"/>
      <c r="M8" s="1115"/>
      <c r="N8" s="1115"/>
      <c r="O8" s="1115"/>
      <c r="P8" s="1115"/>
      <c r="Q8" s="1115"/>
      <c r="R8" s="1115"/>
      <c r="S8" s="1115"/>
      <c r="T8" s="1115"/>
      <c r="U8" s="1115"/>
      <c r="V8" s="1115"/>
      <c r="W8" s="1115"/>
      <c r="X8" s="1115"/>
      <c r="Y8" s="1115"/>
      <c r="Z8" s="1115"/>
      <c r="AA8" s="1115"/>
      <c r="AB8" s="1115"/>
      <c r="AC8" s="1115"/>
      <c r="AD8" s="1116"/>
      <c r="AE8" s="1116"/>
      <c r="AF8" s="1116"/>
      <c r="AW8" s="1124"/>
      <c r="AX8" s="1124"/>
      <c r="AY8" s="1124"/>
      <c r="AZ8" s="1124"/>
      <c r="BA8" s="1124"/>
      <c r="BB8" s="1124"/>
      <c r="BC8" s="1124"/>
    </row>
    <row r="9" spans="1:55" ht="26">
      <c r="B9" s="1242" t="str">
        <f>'Input sheet'!D20&amp;" days"</f>
        <v xml:space="preserve"> days</v>
      </c>
      <c r="C9" s="1242"/>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W9" s="1125"/>
      <c r="AX9" s="1126"/>
      <c r="AY9" s="1124"/>
      <c r="AZ9" s="1124"/>
      <c r="BA9" s="1124"/>
      <c r="BB9" s="1124"/>
      <c r="BC9" s="1124"/>
    </row>
    <row r="10" spans="1:55" ht="26">
      <c r="B10" s="1239"/>
      <c r="C10" s="1239"/>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W10" s="1125"/>
      <c r="AX10" s="1127"/>
      <c r="AY10" s="1128"/>
      <c r="AZ10" s="1124"/>
      <c r="BA10" s="1124"/>
      <c r="BB10" s="1124"/>
      <c r="BC10" s="1124"/>
    </row>
    <row r="11" spans="1:55" ht="26">
      <c r="B11" s="1241" t="s">
        <v>1621</v>
      </c>
      <c r="C11" s="1241"/>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W11" s="1125"/>
      <c r="AX11" s="1127"/>
      <c r="AY11" s="1128"/>
      <c r="AZ11" s="1124"/>
      <c r="BA11" s="1124"/>
      <c r="BB11" s="1124"/>
      <c r="BC11" s="1124"/>
    </row>
    <row r="12" spans="1:55" ht="26">
      <c r="B12" s="1242" t="str">
        <f>'Input sheet'!D21&amp;", "&amp;'Input sheet'!D22</f>
        <v xml:space="preserve">, </v>
      </c>
      <c r="C12" s="1242"/>
      <c r="D12" s="1066"/>
      <c r="E12" s="1066"/>
      <c r="F12" s="1066"/>
      <c r="G12" s="1066"/>
      <c r="H12" s="1066"/>
      <c r="I12" s="1066"/>
      <c r="J12" s="1066"/>
      <c r="K12" s="1066"/>
      <c r="L12" s="1066"/>
      <c r="M12" s="1066"/>
      <c r="N12" s="1066"/>
      <c r="O12" s="1066"/>
      <c r="P12" s="1066"/>
      <c r="Q12" s="1066"/>
      <c r="R12" s="1066"/>
      <c r="S12" s="1066"/>
      <c r="T12" s="1066"/>
      <c r="U12" s="1066"/>
      <c r="V12" s="1066"/>
      <c r="W12" s="1066"/>
      <c r="X12" s="1066"/>
      <c r="Y12" s="1066"/>
      <c r="Z12" s="1066"/>
      <c r="AA12" s="1066"/>
      <c r="AB12" s="1066"/>
      <c r="AC12" s="1066"/>
      <c r="AW12" s="1124"/>
      <c r="AX12" s="1124"/>
      <c r="AY12" s="1124"/>
      <c r="AZ12" s="1124"/>
      <c r="BA12" s="1124"/>
      <c r="BB12" s="1124"/>
      <c r="BC12" s="1124"/>
    </row>
    <row r="13" spans="1:55" ht="26">
      <c r="A13" s="1083"/>
      <c r="B13" s="1239"/>
      <c r="C13" s="1239"/>
      <c r="D13" s="1066"/>
      <c r="E13" s="1066"/>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W13" s="1125"/>
      <c r="AX13" s="1126"/>
      <c r="AY13" s="1124"/>
      <c r="AZ13" s="1124"/>
      <c r="BA13" s="1124"/>
      <c r="BB13" s="1124"/>
      <c r="BC13" s="1124"/>
    </row>
    <row r="14" spans="1:55" ht="26">
      <c r="B14" s="1241" t="s">
        <v>1622</v>
      </c>
      <c r="C14" s="1241"/>
      <c r="D14" s="1066"/>
      <c r="E14" s="1066"/>
      <c r="F14" s="1066"/>
      <c r="G14" s="1066"/>
      <c r="H14" s="1066"/>
      <c r="I14" s="1066"/>
      <c r="J14" s="1066"/>
      <c r="K14" s="1066"/>
      <c r="L14" s="1066"/>
      <c r="M14" s="1066"/>
      <c r="N14" s="1066"/>
      <c r="O14" s="1066"/>
      <c r="P14" s="1066"/>
      <c r="Q14" s="1066"/>
      <c r="R14" s="1066"/>
      <c r="S14" s="1066"/>
      <c r="T14" s="1066"/>
      <c r="U14" s="1066"/>
      <c r="V14" s="1066"/>
      <c r="W14" s="1066"/>
      <c r="X14" s="1066"/>
      <c r="Y14" s="1066"/>
      <c r="Z14" s="1066"/>
      <c r="AA14" s="1066"/>
      <c r="AB14" s="1066"/>
      <c r="AC14" s="1066"/>
      <c r="AW14" s="1124"/>
      <c r="AX14" s="1127"/>
      <c r="AY14" s="1128"/>
      <c r="AZ14" s="1124"/>
      <c r="BA14" s="1124"/>
      <c r="BB14" s="1124"/>
      <c r="BC14" s="1124"/>
    </row>
    <row r="15" spans="1:55" ht="26">
      <c r="B15" s="1244">
        <f>'Input sheet'!D23</f>
        <v>0</v>
      </c>
      <c r="C15" s="1242"/>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6"/>
      <c r="AB15" s="1066"/>
      <c r="AC15" s="1066"/>
      <c r="AW15" s="1124"/>
      <c r="AX15" s="1127"/>
      <c r="AY15" s="1128"/>
      <c r="AZ15" s="1124"/>
      <c r="BA15" s="1124"/>
      <c r="BB15" s="1124"/>
      <c r="BC15" s="1124"/>
    </row>
    <row r="16" spans="1:55" ht="26">
      <c r="B16" s="1239"/>
      <c r="C16" s="1239"/>
      <c r="D16" s="1066"/>
      <c r="E16" s="1066"/>
      <c r="F16" s="1066"/>
      <c r="G16" s="1066"/>
      <c r="H16" s="1066"/>
      <c r="I16" s="1066"/>
      <c r="J16" s="1066"/>
      <c r="K16" s="1066"/>
      <c r="L16" s="1066"/>
      <c r="M16" s="1066"/>
      <c r="N16" s="1066"/>
      <c r="O16" s="1066"/>
      <c r="P16" s="1066"/>
      <c r="Q16" s="1066"/>
      <c r="R16" s="1066"/>
      <c r="S16" s="1066"/>
      <c r="T16" s="1066"/>
      <c r="U16" s="1066"/>
      <c r="V16" s="1066"/>
      <c r="W16" s="1066"/>
      <c r="X16" s="1066"/>
      <c r="Y16" s="1066"/>
      <c r="Z16" s="1066"/>
      <c r="AA16" s="1066"/>
      <c r="AB16" s="1066"/>
      <c r="AC16" s="1066"/>
      <c r="AW16" s="1124"/>
      <c r="AX16" s="1124"/>
      <c r="AY16" s="1124"/>
      <c r="AZ16" s="1124"/>
      <c r="BA16" s="1124"/>
      <c r="BB16" s="1124"/>
      <c r="BC16" s="1124"/>
    </row>
    <row r="17" spans="1:55" ht="24">
      <c r="B17" s="1241" t="s">
        <v>1623</v>
      </c>
      <c r="C17" s="1241"/>
      <c r="D17" s="1066"/>
      <c r="E17" s="1066"/>
      <c r="F17" s="1066"/>
      <c r="G17" s="1066"/>
      <c r="H17" s="1066"/>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W17" s="1124"/>
      <c r="AX17" s="1126"/>
      <c r="AY17" s="1124"/>
      <c r="AZ17" s="1124"/>
      <c r="BA17" s="1124"/>
      <c r="BB17" s="1124"/>
      <c r="BC17" s="1124"/>
    </row>
    <row r="18" spans="1:55" ht="26">
      <c r="A18" s="1084"/>
      <c r="B18" s="1244">
        <f>'Input sheet'!D25</f>
        <v>0</v>
      </c>
      <c r="C18" s="1242"/>
      <c r="D18" s="1066"/>
      <c r="E18" s="1066"/>
      <c r="F18" s="1066"/>
      <c r="G18" s="1066"/>
      <c r="H18" s="1066"/>
      <c r="I18" s="1066"/>
      <c r="J18" s="1066"/>
      <c r="K18" s="1066"/>
      <c r="L18" s="1066"/>
      <c r="M18" s="1066"/>
      <c r="N18" s="1066"/>
      <c r="O18" s="1066"/>
      <c r="P18" s="1066"/>
      <c r="Q18" s="1066"/>
      <c r="R18" s="1066"/>
      <c r="S18" s="1066"/>
      <c r="T18" s="1066"/>
      <c r="U18" s="1066"/>
      <c r="V18" s="1066"/>
      <c r="W18" s="1066"/>
      <c r="X18" s="1066"/>
      <c r="Y18" s="1066"/>
      <c r="Z18" s="1066"/>
      <c r="AA18" s="1066"/>
      <c r="AB18" s="1066"/>
      <c r="AC18" s="1066"/>
      <c r="AW18" s="1124"/>
      <c r="AX18" s="1127"/>
      <c r="AY18" s="1128"/>
      <c r="AZ18" s="1124"/>
      <c r="BA18" s="1124"/>
      <c r="BB18" s="1124"/>
      <c r="BC18" s="1124"/>
    </row>
    <row r="19" spans="1:55" ht="26">
      <c r="D19" s="1066"/>
      <c r="E19" s="1066"/>
      <c r="F19" s="1066"/>
      <c r="G19" s="1066"/>
      <c r="H19" s="1066"/>
      <c r="I19" s="1066"/>
      <c r="J19" s="1066"/>
      <c r="K19" s="1066"/>
      <c r="L19" s="1066"/>
      <c r="M19" s="1066"/>
      <c r="N19" s="1066"/>
      <c r="O19" s="1066"/>
      <c r="P19" s="1066"/>
      <c r="Q19" s="1066"/>
      <c r="R19" s="1066"/>
      <c r="S19" s="1066"/>
      <c r="T19" s="1066"/>
      <c r="U19" s="1066"/>
      <c r="V19" s="1066"/>
      <c r="W19" s="1066"/>
      <c r="X19" s="1066"/>
      <c r="Y19" s="1066"/>
      <c r="Z19" s="1066"/>
      <c r="AA19" s="1066"/>
      <c r="AB19" s="1066"/>
      <c r="AC19" s="1066"/>
      <c r="AW19" s="1124"/>
      <c r="AX19" s="1127"/>
      <c r="AY19" s="1128"/>
      <c r="AZ19" s="1124"/>
      <c r="BA19" s="1124"/>
      <c r="BB19" s="1124"/>
      <c r="BC19" s="1124"/>
    </row>
    <row r="20" spans="1:55" ht="24">
      <c r="B20" s="1241" t="s">
        <v>1624</v>
      </c>
      <c r="C20" s="1241"/>
      <c r="D20" s="1066"/>
      <c r="E20" s="1066"/>
      <c r="F20" s="1066"/>
      <c r="G20" s="1066"/>
      <c r="H20" s="1066"/>
      <c r="I20" s="1066"/>
      <c r="J20" s="1066"/>
      <c r="K20" s="1066"/>
      <c r="L20" s="1066"/>
      <c r="M20" s="1066"/>
      <c r="N20" s="1066"/>
      <c r="O20" s="1066"/>
      <c r="P20" s="1066"/>
      <c r="Q20" s="1066"/>
      <c r="R20" s="1066"/>
      <c r="S20" s="1066"/>
      <c r="T20" s="1066"/>
      <c r="U20" s="1066"/>
      <c r="V20" s="1066"/>
      <c r="W20" s="1066"/>
      <c r="X20" s="1066"/>
      <c r="Y20" s="1066"/>
      <c r="Z20" s="1066"/>
      <c r="AA20" s="1066"/>
      <c r="AB20" s="1066"/>
      <c r="AC20" s="1066"/>
      <c r="AW20" s="1124"/>
      <c r="AX20" s="1124"/>
      <c r="AY20" s="1124"/>
      <c r="AZ20" s="1124"/>
      <c r="BA20" s="1124"/>
      <c r="BB20" s="1124"/>
      <c r="BC20" s="1124"/>
    </row>
    <row r="21" spans="1:55" ht="26">
      <c r="B21" s="1242" t="str">
        <f>IF('Input sheet'!D26="Yes","Own campsite", "No campsite")</f>
        <v>No campsite</v>
      </c>
      <c r="C21" s="1242"/>
      <c r="D21" s="1066"/>
      <c r="E21" s="1066"/>
      <c r="F21" s="1066"/>
      <c r="G21" s="1066"/>
      <c r="H21" s="1066"/>
      <c r="I21" s="1066"/>
      <c r="J21" s="1066"/>
      <c r="K21" s="1066"/>
      <c r="L21" s="1066"/>
      <c r="M21" s="1066"/>
      <c r="N21" s="1066"/>
      <c r="O21" s="1066"/>
      <c r="P21" s="1066"/>
      <c r="Q21" s="1066"/>
      <c r="R21" s="1066"/>
      <c r="S21" s="1066"/>
      <c r="T21" s="1066"/>
      <c r="U21" s="1066"/>
      <c r="V21" s="1066"/>
      <c r="W21" s="1066"/>
      <c r="X21" s="1066"/>
      <c r="Y21" s="1066"/>
      <c r="Z21" s="1066"/>
      <c r="AA21" s="1066"/>
      <c r="AB21" s="1066"/>
      <c r="AC21" s="1066"/>
      <c r="AW21" s="1124"/>
      <c r="AX21" s="1126"/>
      <c r="AY21" s="1124"/>
      <c r="AZ21" s="1124"/>
      <c r="BA21" s="1124"/>
      <c r="BB21" s="1124"/>
      <c r="BC21" s="1124"/>
    </row>
    <row r="22" spans="1:55" ht="26">
      <c r="B22" s="1239"/>
      <c r="C22" s="1239"/>
      <c r="D22" s="1066"/>
      <c r="E22" s="1066"/>
      <c r="F22" s="1066"/>
      <c r="G22" s="1066"/>
      <c r="H22" s="1066"/>
      <c r="I22" s="1066"/>
      <c r="J22" s="1066"/>
      <c r="K22" s="1066"/>
      <c r="L22" s="1066"/>
      <c r="M22" s="1066"/>
      <c r="N22" s="1066"/>
      <c r="O22" s="1066"/>
      <c r="P22" s="1066"/>
      <c r="Q22" s="1066"/>
      <c r="R22" s="1066"/>
      <c r="S22" s="1066"/>
      <c r="T22" s="1066"/>
      <c r="U22" s="1066"/>
      <c r="V22" s="1066"/>
      <c r="W22" s="1066"/>
      <c r="X22" s="1066"/>
      <c r="Y22" s="1066"/>
      <c r="Z22" s="1066"/>
      <c r="AA22" s="1066"/>
      <c r="AB22" s="1066"/>
      <c r="AC22" s="1066"/>
      <c r="AW22" s="1124"/>
      <c r="AX22" s="1127"/>
      <c r="AY22" s="1129"/>
      <c r="AZ22" s="1124"/>
      <c r="BA22" s="1124"/>
      <c r="BB22" s="1130"/>
      <c r="BC22" s="1124"/>
    </row>
    <row r="23" spans="1:55" ht="26">
      <c r="B23" s="1241" t="s">
        <v>1625</v>
      </c>
      <c r="C23" s="1241"/>
      <c r="D23" s="1066"/>
      <c r="E23" s="1066"/>
      <c r="F23" s="1066"/>
      <c r="G23" s="1066"/>
      <c r="H23" s="1066"/>
      <c r="I23" s="1066"/>
      <c r="J23" s="1066"/>
      <c r="K23" s="1066"/>
      <c r="L23" s="1066"/>
      <c r="M23" s="1066"/>
      <c r="N23" s="1066"/>
      <c r="O23" s="1066"/>
      <c r="P23" s="1066"/>
      <c r="Q23" s="1066"/>
      <c r="R23" s="1066"/>
      <c r="S23" s="1066"/>
      <c r="T23" s="1066"/>
      <c r="U23" s="1066"/>
      <c r="V23" s="1066"/>
      <c r="W23" s="1066"/>
      <c r="X23" s="1066"/>
      <c r="Y23" s="1066"/>
      <c r="Z23" s="1066"/>
      <c r="AA23" s="1066"/>
      <c r="AB23" s="1066"/>
      <c r="AC23" s="1066"/>
      <c r="AW23" s="1124"/>
      <c r="AX23" s="1127"/>
      <c r="AY23" s="1129"/>
      <c r="AZ23" s="1124"/>
      <c r="BA23" s="1124"/>
      <c r="BB23" s="1130"/>
      <c r="BC23" s="1124"/>
    </row>
    <row r="24" spans="1:55" ht="26">
      <c r="B24" s="1242" t="str">
        <f>'Input sheet'!D28&amp;" degrees and "&amp;LOWER('Input sheet'!D27)</f>
        <v xml:space="preserve"> degrees and </v>
      </c>
      <c r="C24" s="1242"/>
      <c r="D24" s="1066"/>
      <c r="E24" s="1066"/>
      <c r="F24" s="1066"/>
      <c r="G24" s="1066"/>
      <c r="H24" s="1066"/>
      <c r="I24" s="1066"/>
      <c r="J24" s="1066"/>
      <c r="K24" s="1066"/>
      <c r="L24" s="1066"/>
      <c r="M24" s="1066"/>
      <c r="N24" s="1066"/>
      <c r="O24" s="1066"/>
      <c r="P24" s="1066"/>
      <c r="Q24" s="1066"/>
      <c r="R24" s="1066"/>
      <c r="S24" s="1066"/>
      <c r="T24" s="1066"/>
      <c r="U24" s="1066"/>
      <c r="V24" s="1066"/>
      <c r="W24" s="1066"/>
      <c r="X24" s="1066"/>
      <c r="Y24" s="1066"/>
      <c r="Z24" s="1066"/>
      <c r="AA24" s="1066"/>
      <c r="AB24" s="1066"/>
      <c r="AC24" s="1066"/>
      <c r="AW24" s="1124"/>
      <c r="AX24" s="1124"/>
      <c r="AY24" s="1124"/>
      <c r="AZ24" s="1124"/>
      <c r="BA24" s="1124"/>
      <c r="BB24" s="1124"/>
      <c r="BC24" s="1124"/>
    </row>
    <row r="25" spans="1:55" ht="26">
      <c r="B25" s="1239"/>
      <c r="C25" s="1239"/>
      <c r="D25" s="1066"/>
      <c r="E25" s="1066"/>
      <c r="F25" s="1066"/>
      <c r="G25" s="1066"/>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W25" s="1124"/>
      <c r="AX25" s="1126"/>
      <c r="AY25" s="1124"/>
      <c r="AZ25" s="1124"/>
      <c r="BA25" s="1124"/>
      <c r="BB25" s="1124"/>
      <c r="BC25" s="1124"/>
    </row>
    <row r="26" spans="1:55" ht="26">
      <c r="B26" s="1241" t="s">
        <v>1626</v>
      </c>
      <c r="C26" s="1241"/>
      <c r="D26" s="1066"/>
      <c r="E26" s="1066"/>
      <c r="F26" s="1066"/>
      <c r="G26" s="1066"/>
      <c r="H26" s="1066"/>
      <c r="I26" s="1066"/>
      <c r="J26" s="1066"/>
      <c r="K26" s="1066"/>
      <c r="L26" s="1066"/>
      <c r="M26" s="1066"/>
      <c r="N26" s="1066"/>
      <c r="O26" s="1066"/>
      <c r="P26" s="1066"/>
      <c r="Q26" s="1066"/>
      <c r="R26" s="1066"/>
      <c r="S26" s="1066"/>
      <c r="T26" s="1066"/>
      <c r="U26" s="1066"/>
      <c r="V26" s="1066"/>
      <c r="W26" s="1066"/>
      <c r="X26" s="1066"/>
      <c r="Y26" s="1066"/>
      <c r="Z26" s="1066"/>
      <c r="AA26" s="1066"/>
      <c r="AB26" s="1066"/>
      <c r="AC26" s="1066"/>
      <c r="AW26" s="1124"/>
      <c r="AX26" s="1127"/>
      <c r="AY26" s="1128"/>
      <c r="AZ26" s="1124"/>
      <c r="BA26" s="1124"/>
      <c r="BB26" s="1130"/>
      <c r="BC26" s="1124"/>
    </row>
    <row r="27" spans="1:55" ht="26">
      <c r="B27" s="1245" t="str">
        <f>'Facilitatory data'!G21</f>
        <v/>
      </c>
      <c r="C27" s="1245"/>
      <c r="D27" s="1066"/>
      <c r="E27" s="1066"/>
      <c r="F27" s="1066"/>
      <c r="G27" s="1066"/>
      <c r="H27" s="1066"/>
      <c r="I27" s="1066"/>
      <c r="J27" s="1066"/>
      <c r="K27" s="1066"/>
      <c r="L27" s="1066"/>
      <c r="M27" s="1066"/>
      <c r="N27" s="1066"/>
      <c r="O27" s="1066"/>
      <c r="P27" s="1066"/>
      <c r="Q27" s="1066"/>
      <c r="R27" s="1066"/>
      <c r="S27" s="1066"/>
      <c r="T27" s="1066"/>
      <c r="U27" s="1066"/>
      <c r="V27" s="1066"/>
      <c r="W27" s="1066"/>
      <c r="X27" s="1066"/>
      <c r="Y27" s="1066"/>
      <c r="Z27" s="1066"/>
      <c r="AA27" s="1066"/>
      <c r="AB27" s="1066"/>
      <c r="AC27" s="1066"/>
      <c r="AW27" s="1124"/>
      <c r="AX27" s="1127"/>
      <c r="AY27" s="1128"/>
      <c r="AZ27" s="1124"/>
      <c r="BA27" s="1124"/>
      <c r="BB27" s="1130"/>
      <c r="BC27" s="1124"/>
    </row>
    <row r="28" spans="1:55" ht="26">
      <c r="B28" s="1239"/>
      <c r="C28" s="1239"/>
      <c r="D28" s="1066"/>
      <c r="E28" s="1066"/>
      <c r="F28" s="1066"/>
      <c r="G28" s="1066"/>
      <c r="H28" s="1066"/>
      <c r="I28" s="1066"/>
      <c r="J28" s="1066"/>
      <c r="K28" s="1066"/>
      <c r="L28" s="1066"/>
      <c r="M28" s="1066"/>
      <c r="N28" s="1066"/>
      <c r="O28" s="1066"/>
      <c r="P28" s="1066"/>
      <c r="Q28" s="1066"/>
      <c r="R28" s="1066"/>
      <c r="S28" s="1066"/>
      <c r="T28" s="1066"/>
      <c r="U28" s="1066"/>
      <c r="V28" s="1066"/>
      <c r="W28" s="1066"/>
      <c r="X28" s="1066"/>
      <c r="Y28" s="1066"/>
      <c r="Z28" s="1066"/>
      <c r="AA28" s="1066"/>
      <c r="AB28" s="1066"/>
      <c r="AC28" s="1066"/>
      <c r="AW28" s="1124"/>
      <c r="AX28" s="1124"/>
      <c r="AY28" s="1124"/>
      <c r="AZ28" s="1124"/>
      <c r="BA28" s="1124"/>
      <c r="BB28" s="1124"/>
      <c r="BC28" s="1124"/>
    </row>
    <row r="29" spans="1:55" ht="24">
      <c r="B29" s="1241" t="s">
        <v>1627</v>
      </c>
      <c r="C29" s="1241"/>
      <c r="D29" s="1066"/>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6"/>
      <c r="AA29" s="1066"/>
      <c r="AB29" s="1066"/>
      <c r="AC29" s="1066"/>
      <c r="AW29" s="1124"/>
      <c r="AX29" s="1126"/>
      <c r="AY29" s="1124"/>
      <c r="AZ29" s="1124"/>
      <c r="BA29" s="1124"/>
      <c r="BB29" s="1124"/>
      <c r="BC29" s="1124"/>
    </row>
    <row r="30" spans="1:55" ht="26">
      <c r="A30" s="1085"/>
      <c r="B30" s="1242">
        <f>'Input sheet'!D43</f>
        <v>0</v>
      </c>
      <c r="C30" s="1242"/>
      <c r="D30" s="1066"/>
      <c r="E30" s="1066"/>
      <c r="F30" s="1066"/>
      <c r="G30" s="1066"/>
      <c r="H30" s="1066"/>
      <c r="I30" s="1066"/>
      <c r="J30" s="1066"/>
      <c r="K30" s="1066"/>
      <c r="L30" s="1066"/>
      <c r="M30" s="1066"/>
      <c r="N30" s="1066"/>
      <c r="O30" s="1066"/>
      <c r="P30" s="1066"/>
      <c r="Q30" s="1066"/>
      <c r="R30" s="1066"/>
      <c r="S30" s="1066"/>
      <c r="T30" s="1066"/>
      <c r="U30" s="1066"/>
      <c r="V30" s="1066"/>
      <c r="W30" s="1066"/>
      <c r="X30" s="1066"/>
      <c r="Y30" s="1066"/>
      <c r="Z30" s="1066"/>
      <c r="AA30" s="1066"/>
      <c r="AB30" s="1066"/>
      <c r="AC30" s="1066"/>
      <c r="AW30" s="1124"/>
      <c r="AX30" s="1127"/>
      <c r="AY30" s="1128"/>
      <c r="AZ30" s="1124"/>
      <c r="BA30" s="1124"/>
      <c r="BB30" s="1124"/>
      <c r="BC30" s="1124"/>
    </row>
    <row r="31" spans="1:55" ht="26">
      <c r="B31" s="1239"/>
      <c r="C31" s="1239"/>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W31" s="1124"/>
      <c r="AX31" s="1127"/>
      <c r="AY31" s="1128"/>
      <c r="AZ31" s="1124"/>
      <c r="BA31" s="1124"/>
      <c r="BB31" s="1124"/>
      <c r="BC31" s="1124"/>
    </row>
    <row r="32" spans="1:55" ht="24">
      <c r="B32" s="1241" t="s">
        <v>1628</v>
      </c>
      <c r="C32" s="1241"/>
      <c r="D32" s="1066"/>
      <c r="E32" s="1066"/>
      <c r="F32" s="1066"/>
      <c r="G32" s="1066"/>
      <c r="H32" s="1066"/>
      <c r="I32" s="1066"/>
      <c r="J32" s="1066"/>
      <c r="K32" s="1066"/>
      <c r="L32" s="1066"/>
      <c r="M32" s="1066"/>
      <c r="N32" s="1066"/>
      <c r="O32" s="1066"/>
      <c r="P32" s="1066"/>
      <c r="Q32" s="1066"/>
      <c r="R32" s="1066"/>
      <c r="S32" s="1066"/>
      <c r="T32" s="1066"/>
      <c r="U32" s="1066"/>
      <c r="V32" s="1066"/>
      <c r="W32" s="1066"/>
      <c r="X32" s="1066"/>
      <c r="Y32" s="1066"/>
      <c r="Z32" s="1066"/>
      <c r="AA32" s="1066"/>
      <c r="AB32" s="1066"/>
      <c r="AC32" s="1066"/>
      <c r="AW32" s="1124"/>
      <c r="AX32" s="1124"/>
      <c r="AY32" s="1124"/>
      <c r="AZ32" s="1124"/>
      <c r="BA32" s="1124"/>
      <c r="BB32" s="1124"/>
      <c r="BC32" s="1124"/>
    </row>
    <row r="33" spans="1:55" ht="26">
      <c r="B33" s="1242">
        <f>'Input sheet'!D44</f>
        <v>0</v>
      </c>
      <c r="C33" s="1242"/>
      <c r="D33" s="1066"/>
      <c r="E33" s="1066"/>
      <c r="F33" s="1066"/>
      <c r="G33" s="1066"/>
      <c r="H33" s="1066"/>
      <c r="I33" s="1066"/>
      <c r="J33" s="1066"/>
      <c r="K33" s="1066"/>
      <c r="L33" s="1066"/>
      <c r="M33" s="1066"/>
      <c r="N33" s="1066"/>
      <c r="O33" s="1066"/>
      <c r="P33" s="1066"/>
      <c r="Q33" s="1066"/>
      <c r="R33" s="1066"/>
      <c r="S33" s="1066"/>
      <c r="T33" s="1066"/>
      <c r="U33" s="1066"/>
      <c r="V33" s="1066"/>
      <c r="W33" s="1066"/>
      <c r="X33" s="1066"/>
      <c r="Y33" s="1066"/>
      <c r="Z33" s="1066"/>
      <c r="AA33" s="1066"/>
      <c r="AB33" s="1066"/>
      <c r="AC33" s="1066"/>
      <c r="AW33" s="1124"/>
      <c r="AX33" s="1126"/>
      <c r="AY33" s="1124"/>
      <c r="AZ33" s="1124"/>
      <c r="BA33" s="1124"/>
      <c r="BB33" s="1124"/>
      <c r="BC33" s="1124"/>
    </row>
    <row r="34" spans="1:55" ht="26">
      <c r="B34" s="1239"/>
      <c r="C34" s="1239"/>
      <c r="D34" s="1066"/>
      <c r="E34" s="1066"/>
      <c r="F34" s="1066"/>
      <c r="G34" s="1066"/>
      <c r="H34" s="1066"/>
      <c r="I34" s="1066"/>
      <c r="J34" s="1066"/>
      <c r="K34" s="1066"/>
      <c r="L34" s="1066"/>
      <c r="M34" s="1066"/>
      <c r="N34" s="1066"/>
      <c r="O34" s="1066"/>
      <c r="P34" s="1066"/>
      <c r="Q34" s="1066"/>
      <c r="R34" s="1066"/>
      <c r="S34" s="1066"/>
      <c r="T34" s="1066"/>
      <c r="U34" s="1066"/>
      <c r="V34" s="1066"/>
      <c r="W34" s="1066"/>
      <c r="X34" s="1066"/>
      <c r="Y34" s="1066"/>
      <c r="Z34" s="1066"/>
      <c r="AA34" s="1066"/>
      <c r="AB34" s="1066"/>
      <c r="AC34" s="1066"/>
      <c r="AW34" s="1124"/>
      <c r="AX34" s="1127"/>
      <c r="AY34" s="1128"/>
      <c r="AZ34" s="1124"/>
      <c r="BA34" s="1124"/>
      <c r="BB34" s="1124"/>
      <c r="BC34" s="1124"/>
    </row>
    <row r="35" spans="1:55" ht="26">
      <c r="B35" s="1239"/>
      <c r="C35" s="1239"/>
      <c r="D35" s="1066"/>
      <c r="E35" s="1066"/>
      <c r="F35" s="1066"/>
      <c r="G35" s="1066"/>
      <c r="H35" s="1066"/>
      <c r="I35" s="1066"/>
      <c r="J35" s="1066"/>
      <c r="K35" s="1066"/>
      <c r="L35" s="1066"/>
      <c r="M35" s="1066"/>
      <c r="N35" s="1066"/>
      <c r="O35" s="1066"/>
      <c r="P35" s="1066"/>
      <c r="Q35" s="1066"/>
      <c r="R35" s="1066"/>
      <c r="S35" s="1066"/>
      <c r="T35" s="1066"/>
      <c r="U35" s="1066"/>
      <c r="V35" s="1066"/>
      <c r="W35" s="1066"/>
      <c r="X35" s="1066"/>
      <c r="Y35" s="1066"/>
      <c r="Z35" s="1066"/>
      <c r="AA35" s="1066"/>
      <c r="AB35" s="1066"/>
      <c r="AC35" s="1066"/>
      <c r="AW35" s="1124"/>
      <c r="AX35" s="1124"/>
      <c r="AY35" s="1124"/>
      <c r="AZ35" s="1124"/>
      <c r="BA35" s="1124"/>
      <c r="BB35" s="1124"/>
      <c r="BC35" s="1124"/>
    </row>
    <row r="36" spans="1:55" ht="26">
      <c r="B36" s="1243" t="s">
        <v>1812</v>
      </c>
      <c r="C36" s="1243"/>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6"/>
      <c r="AA36" s="1066"/>
      <c r="AB36" s="1066"/>
      <c r="AC36" s="1066"/>
      <c r="AW36" s="1124"/>
      <c r="AX36" s="1124"/>
      <c r="AY36" s="1124"/>
      <c r="AZ36" s="1124"/>
      <c r="BA36" s="1124"/>
      <c r="BB36" s="1124"/>
      <c r="BC36" s="1124"/>
    </row>
    <row r="37" spans="1:55" ht="26">
      <c r="B37" s="1239"/>
      <c r="C37" s="1239"/>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W37" s="1124"/>
      <c r="AX37" s="1124"/>
      <c r="AY37" s="1124"/>
      <c r="AZ37" s="1124"/>
      <c r="BA37" s="1124"/>
      <c r="BB37" s="1124"/>
      <c r="BC37" s="1124"/>
    </row>
    <row r="38" spans="1:55" ht="26">
      <c r="B38" s="1239"/>
      <c r="C38" s="1239"/>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W38" s="1124"/>
      <c r="AX38" s="1124"/>
      <c r="AY38" s="1124"/>
      <c r="AZ38" s="1124"/>
      <c r="BA38" s="1124"/>
      <c r="BB38" s="1124"/>
      <c r="BC38" s="1124"/>
    </row>
    <row r="39" spans="1:55" ht="26">
      <c r="B39" s="1239"/>
      <c r="C39" s="1239"/>
    </row>
    <row r="40" spans="1:55" ht="26">
      <c r="B40" s="1239"/>
      <c r="C40" s="1239"/>
    </row>
    <row r="41" spans="1:55" ht="26">
      <c r="B41" s="1239"/>
      <c r="C41" s="1239"/>
      <c r="D41" s="1117" t="s">
        <v>1794</v>
      </c>
      <c r="E41" s="1118"/>
      <c r="F41" s="1118"/>
      <c r="G41" s="1118"/>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6"/>
      <c r="AE41" s="1116"/>
      <c r="AF41" s="1116"/>
    </row>
    <row r="42" spans="1:55" ht="26">
      <c r="A42" s="1085"/>
      <c r="B42" s="1239"/>
      <c r="C42" s="1239"/>
    </row>
    <row r="43" spans="1:55" ht="26">
      <c r="B43" s="1239"/>
      <c r="C43" s="1239"/>
    </row>
    <row r="44" spans="1:55" ht="26">
      <c r="B44" s="1239"/>
      <c r="C44" s="1239"/>
    </row>
    <row r="45" spans="1:55" ht="26">
      <c r="B45" s="1240"/>
      <c r="C45" s="1240"/>
    </row>
    <row r="46" spans="1:55" ht="26">
      <c r="B46" s="1239"/>
      <c r="C46" s="1239"/>
    </row>
    <row r="47" spans="1:55" ht="26">
      <c r="A47" s="1084"/>
      <c r="B47" s="1239"/>
      <c r="C47" s="1239"/>
    </row>
    <row r="48" spans="1:55" ht="26">
      <c r="A48" s="1085"/>
      <c r="B48" s="1239"/>
      <c r="C48" s="1239"/>
    </row>
    <row r="49" spans="1:3" ht="26">
      <c r="B49" s="1239"/>
      <c r="C49" s="1239"/>
    </row>
    <row r="50" spans="1:3" ht="26">
      <c r="B50" s="1239"/>
      <c r="C50" s="1239"/>
    </row>
    <row r="51" spans="1:3" ht="26">
      <c r="B51" s="1239"/>
      <c r="C51" s="1239"/>
    </row>
    <row r="52" spans="1:3" ht="26">
      <c r="B52" s="1239"/>
      <c r="C52" s="1239"/>
    </row>
    <row r="53" spans="1:3" ht="26">
      <c r="B53" s="1239"/>
      <c r="C53" s="1239"/>
    </row>
    <row r="54" spans="1:3" ht="26">
      <c r="A54" s="1085"/>
      <c r="B54" s="1239"/>
      <c r="C54" s="1239"/>
    </row>
    <row r="55" spans="1:3" ht="26">
      <c r="B55" s="1239"/>
      <c r="C55" s="1239"/>
    </row>
    <row r="56" spans="1:3" ht="26">
      <c r="B56" s="1239"/>
      <c r="C56" s="1239"/>
    </row>
    <row r="57" spans="1:3" ht="26">
      <c r="B57" s="1239"/>
      <c r="C57" s="1239"/>
    </row>
    <row r="58" spans="1:3" ht="26">
      <c r="B58" s="1239"/>
      <c r="C58" s="1239"/>
    </row>
    <row r="59" spans="1:3" ht="26">
      <c r="B59" s="1092"/>
      <c r="C59" s="1092"/>
    </row>
    <row r="60" spans="1:3" ht="26">
      <c r="B60" s="1092"/>
      <c r="C60" s="1092"/>
    </row>
    <row r="61" spans="1:3" ht="26">
      <c r="B61" s="1092"/>
      <c r="C61" s="1092"/>
    </row>
    <row r="62" spans="1:3" ht="26">
      <c r="B62" s="1092"/>
      <c r="C62" s="1092"/>
    </row>
    <row r="63" spans="1:3" ht="26">
      <c r="B63" s="1092"/>
      <c r="C63" s="1092"/>
    </row>
    <row r="64" spans="1:3" ht="26">
      <c r="B64" s="1092"/>
      <c r="C64" s="1092"/>
    </row>
    <row r="65" spans="1:43" ht="26">
      <c r="B65" s="1092"/>
      <c r="C65" s="1092"/>
    </row>
    <row r="66" spans="1:43" ht="26">
      <c r="B66" s="1092"/>
      <c r="C66" s="1092"/>
    </row>
    <row r="67" spans="1:43" ht="26">
      <c r="B67" s="1092"/>
      <c r="C67" s="1092"/>
    </row>
    <row r="68" spans="1:43" ht="26">
      <c r="B68" s="1092"/>
      <c r="C68" s="1092"/>
    </row>
    <row r="69" spans="1:43" ht="26">
      <c r="B69" s="1092"/>
      <c r="C69" s="1092"/>
    </row>
    <row r="70" spans="1:43" ht="26">
      <c r="B70" s="1092"/>
      <c r="C70" s="1092"/>
    </row>
    <row r="71" spans="1:43" ht="26">
      <c r="B71" s="1239"/>
      <c r="C71" s="1239"/>
    </row>
    <row r="72" spans="1:43" ht="26">
      <c r="B72" s="1239"/>
      <c r="C72" s="1239"/>
    </row>
    <row r="73" spans="1:43" ht="27" thickBot="1">
      <c r="B73" s="1092"/>
      <c r="C73" s="1092"/>
      <c r="D73" s="1082"/>
      <c r="E73" s="1082"/>
      <c r="F73" s="1082"/>
      <c r="G73" s="1082"/>
      <c r="H73" s="1082"/>
      <c r="I73" s="1082"/>
      <c r="J73" s="1082"/>
      <c r="K73" s="1082"/>
      <c r="L73" s="1082"/>
      <c r="M73" s="1082"/>
      <c r="N73" s="1082"/>
      <c r="O73" s="1082"/>
      <c r="P73" s="1082"/>
      <c r="Q73" s="1082"/>
      <c r="R73" s="1082"/>
      <c r="S73" s="1082"/>
      <c r="T73" s="1082"/>
      <c r="U73" s="1082"/>
      <c r="V73" s="1082"/>
      <c r="W73" s="1082"/>
      <c r="X73" s="1082"/>
      <c r="Y73" s="1082"/>
      <c r="Z73" s="1082"/>
      <c r="AA73" s="1082"/>
      <c r="AB73" s="1082"/>
      <c r="AC73" s="1082"/>
      <c r="AD73" s="1082"/>
      <c r="AE73" s="1082"/>
      <c r="AF73" s="1082"/>
      <c r="AG73" s="1082"/>
      <c r="AH73" s="1082"/>
      <c r="AI73" s="1082"/>
      <c r="AJ73" s="1082"/>
      <c r="AK73" s="1082"/>
      <c r="AL73" s="1082"/>
      <c r="AM73" s="1082"/>
      <c r="AN73" s="1082"/>
      <c r="AO73" s="1082"/>
      <c r="AP73" s="1082"/>
      <c r="AQ73" s="1082"/>
    </row>
    <row r="74" spans="1:43" ht="26">
      <c r="B74" s="1092"/>
      <c r="C74" s="1092"/>
    </row>
    <row r="75" spans="1:43" ht="26">
      <c r="B75" s="1239"/>
      <c r="C75" s="1239"/>
      <c r="D75" s="1117" t="s">
        <v>1795</v>
      </c>
      <c r="E75" s="1118"/>
      <c r="F75" s="1118"/>
      <c r="G75" s="1118"/>
      <c r="H75" s="1115"/>
      <c r="I75" s="1115"/>
      <c r="J75" s="1115"/>
      <c r="K75" s="1115"/>
      <c r="L75" s="1115"/>
      <c r="M75" s="1115"/>
      <c r="N75" s="1115"/>
      <c r="O75" s="1115"/>
      <c r="P75" s="1115"/>
      <c r="Q75" s="1115"/>
      <c r="R75" s="1115"/>
      <c r="S75" s="1115"/>
      <c r="T75" s="1115"/>
      <c r="U75" s="1115"/>
      <c r="V75" s="1115"/>
      <c r="W75" s="1115"/>
      <c r="X75" s="1115"/>
      <c r="Y75" s="1115"/>
      <c r="Z75" s="1115"/>
      <c r="AA75" s="1115"/>
      <c r="AB75" s="1115"/>
      <c r="AC75" s="1115"/>
      <c r="AD75" s="1116"/>
      <c r="AE75" s="1116"/>
      <c r="AF75" s="1116"/>
    </row>
    <row r="76" spans="1:43" ht="26">
      <c r="B76" s="1239"/>
      <c r="C76" s="1239"/>
    </row>
    <row r="77" spans="1:43" ht="26">
      <c r="A77" s="1084"/>
      <c r="B77" s="1086"/>
      <c r="C77" s="1086"/>
    </row>
    <row r="78" spans="1:43" ht="26">
      <c r="B78" s="1086"/>
      <c r="C78" s="1086"/>
    </row>
    <row r="79" spans="1:43" ht="21">
      <c r="A79" s="1085"/>
    </row>
    <row r="80" spans="1:43" ht="19">
      <c r="A80" s="1087"/>
    </row>
    <row r="81"/>
    <row r="82"/>
    <row r="83"/>
    <row r="84"/>
    <row r="85"/>
    <row r="86"/>
    <row r="87"/>
    <row r="88"/>
    <row r="89"/>
    <row r="90"/>
    <row r="91"/>
    <row r="92"/>
    <row r="93"/>
    <row r="94"/>
    <row r="95"/>
    <row r="96"/>
    <row r="97" spans="1:1"/>
    <row r="98" spans="1:1"/>
    <row r="99" spans="1:1"/>
    <row r="100" spans="1:1"/>
    <row r="101" spans="1:1"/>
    <row r="102" spans="1:1"/>
    <row r="103" spans="1:1"/>
    <row r="104" spans="1:1"/>
    <row r="105" spans="1:1" ht="21">
      <c r="A105" s="1085"/>
    </row>
    <row r="106" spans="1:1" ht="19">
      <c r="A106" s="1087"/>
    </row>
    <row r="107" spans="1:1"/>
    <row r="108" spans="1:1"/>
    <row r="109" spans="1:1"/>
    <row r="110" spans="1:1"/>
    <row r="111" spans="1:1"/>
    <row r="112" spans="1:1"/>
    <row r="113" spans="1:1"/>
    <row r="114" spans="1:1"/>
    <row r="115" spans="1:1" ht="19">
      <c r="A115" s="1087"/>
    </row>
    <row r="116" spans="1:1"/>
    <row r="117" spans="1:1"/>
    <row r="118" spans="1:1"/>
    <row r="119" spans="1:1"/>
    <row r="120" spans="1:1"/>
    <row r="121" spans="1:1"/>
    <row r="122" spans="1:1"/>
    <row r="123" spans="1:1"/>
    <row r="127" spans="1:1" ht="19" hidden="1">
      <c r="A127" s="1087"/>
    </row>
    <row r="138" spans="1:1" ht="19" hidden="1">
      <c r="A138" s="1087"/>
    </row>
    <row r="144" spans="1:1" ht="24" hidden="1">
      <c r="A144" s="1088"/>
    </row>
    <row r="146" spans="1:1" ht="21" hidden="1">
      <c r="A146" s="1085"/>
    </row>
    <row r="147" spans="1:1" ht="19" hidden="1">
      <c r="A147" s="1087"/>
    </row>
    <row r="159" spans="1:1" ht="19" hidden="1">
      <c r="A159" s="1087"/>
    </row>
    <row r="176" spans="1:1" ht="19" hidden="1">
      <c r="A176" s="1087"/>
    </row>
    <row r="179" spans="1:1" ht="19" hidden="1">
      <c r="A179" s="1087"/>
    </row>
    <row r="187" spans="1:1" ht="21" hidden="1">
      <c r="A187" s="1085"/>
    </row>
    <row r="188" spans="1:1" ht="19" hidden="1">
      <c r="A188" s="1087"/>
    </row>
    <row r="217" spans="1:1" ht="19" hidden="1">
      <c r="A217" s="1087"/>
    </row>
    <row r="220" spans="1:1" ht="19" hidden="1">
      <c r="A220" s="1087"/>
    </row>
    <row r="228" spans="1:1" ht="21" hidden="1">
      <c r="A228" s="1085"/>
    </row>
    <row r="229" spans="1:1" ht="19" hidden="1">
      <c r="A229" s="1087"/>
    </row>
    <row r="241" spans="1:1" ht="19" hidden="1">
      <c r="A241" s="1087"/>
    </row>
    <row r="258" spans="1:1" ht="19" hidden="1">
      <c r="A258" s="1087"/>
    </row>
    <row r="261" spans="1:1" ht="19" hidden="1">
      <c r="A261" s="1087"/>
    </row>
    <row r="269" spans="1:1" ht="21" hidden="1">
      <c r="A269" s="1085"/>
    </row>
    <row r="279" spans="1:1" ht="21" hidden="1">
      <c r="A279" s="1085"/>
    </row>
    <row r="289" spans="1:1" ht="21" hidden="1">
      <c r="A289" s="1085"/>
    </row>
    <row r="294" spans="1:1" ht="24" hidden="1">
      <c r="A294" s="1084"/>
    </row>
    <row r="301" spans="1:1" ht="24" hidden="1">
      <c r="A301" s="1084"/>
    </row>
    <row r="303" spans="1:1" ht="21" hidden="1">
      <c r="A303" s="1089"/>
    </row>
    <row r="304" spans="1:1" ht="19" hidden="1">
      <c r="A304" s="1087"/>
    </row>
    <row r="308" spans="1:1" ht="19" hidden="1">
      <c r="A308" s="1087"/>
    </row>
    <row r="317" spans="1:1" ht="19" hidden="1">
      <c r="A317" s="1087"/>
    </row>
    <row r="323" spans="1:1" ht="21" hidden="1">
      <c r="A323" s="1089"/>
    </row>
    <row r="324" spans="1:1" ht="19" hidden="1">
      <c r="A324" s="1087"/>
    </row>
    <row r="328" spans="1:1" ht="19" hidden="1">
      <c r="A328" s="1087"/>
    </row>
    <row r="373" spans="1:1" ht="24" hidden="1">
      <c r="A373" s="1084"/>
    </row>
    <row r="374" spans="1:1" ht="21" hidden="1">
      <c r="A374" s="1085"/>
    </row>
    <row r="376" spans="1:1" ht="21" hidden="1">
      <c r="A376" s="1085"/>
    </row>
    <row r="385" spans="1:1" ht="24" hidden="1">
      <c r="A385" s="1084"/>
    </row>
    <row r="394" spans="1:1" ht="24" hidden="1">
      <c r="A394" s="1084"/>
    </row>
    <row r="395" spans="1:1"/>
    <row r="396" spans="1:1"/>
  </sheetData>
  <mergeCells count="59">
    <mergeCell ref="AW6:BC7"/>
    <mergeCell ref="B15:C15"/>
    <mergeCell ref="S1:AB2"/>
    <mergeCell ref="B5:C5"/>
    <mergeCell ref="B6:C6"/>
    <mergeCell ref="B7:C7"/>
    <mergeCell ref="B8:C8"/>
    <mergeCell ref="B9:C9"/>
    <mergeCell ref="B10:C10"/>
    <mergeCell ref="B11:C11"/>
    <mergeCell ref="B12:C12"/>
    <mergeCell ref="B13:C13"/>
    <mergeCell ref="B14:C14"/>
    <mergeCell ref="B28:C28"/>
    <mergeCell ref="B16:C16"/>
    <mergeCell ref="B17:C17"/>
    <mergeCell ref="B18:C18"/>
    <mergeCell ref="B20:C20"/>
    <mergeCell ref="B21:C21"/>
    <mergeCell ref="B22:C22"/>
    <mergeCell ref="B23:C23"/>
    <mergeCell ref="B24:C24"/>
    <mergeCell ref="B25:C25"/>
    <mergeCell ref="B26:C26"/>
    <mergeCell ref="B27:C27"/>
    <mergeCell ref="B40:C40"/>
    <mergeCell ref="B29:C29"/>
    <mergeCell ref="B30:C30"/>
    <mergeCell ref="B31:C31"/>
    <mergeCell ref="B32:C32"/>
    <mergeCell ref="B33:C33"/>
    <mergeCell ref="B34:C34"/>
    <mergeCell ref="B35:C35"/>
    <mergeCell ref="B36:C36"/>
    <mergeCell ref="B37:C37"/>
    <mergeCell ref="B38:C38"/>
    <mergeCell ref="B39:C39"/>
    <mergeCell ref="B52:C52"/>
    <mergeCell ref="B41:C41"/>
    <mergeCell ref="B42:C42"/>
    <mergeCell ref="B43:C43"/>
    <mergeCell ref="B44:C44"/>
    <mergeCell ref="B45:C45"/>
    <mergeCell ref="B46:C46"/>
    <mergeCell ref="B47:C47"/>
    <mergeCell ref="B48:C48"/>
    <mergeCell ref="B49:C49"/>
    <mergeCell ref="B50:C50"/>
    <mergeCell ref="B51:C51"/>
    <mergeCell ref="B71:C71"/>
    <mergeCell ref="B72:C72"/>
    <mergeCell ref="B75:C75"/>
    <mergeCell ref="B76:C76"/>
    <mergeCell ref="B53:C53"/>
    <mergeCell ref="B54:C54"/>
    <mergeCell ref="B55:C55"/>
    <mergeCell ref="B56:C56"/>
    <mergeCell ref="B57:C57"/>
    <mergeCell ref="B58:C58"/>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C14F-B54B-4A0C-9B8A-7BCCDB1593AE}">
  <sheetPr codeName="Sheet6">
    <tabColor rgb="FF4F6D7A"/>
  </sheetPr>
  <dimension ref="A1:W121"/>
  <sheetViews>
    <sheetView zoomScale="90" zoomScaleNormal="90" workbookViewId="0"/>
  </sheetViews>
  <sheetFormatPr baseColWidth="10" defaultColWidth="0" defaultRowHeight="26"/>
  <cols>
    <col min="1" max="1" width="2.6640625" style="1057" customWidth="1"/>
    <col min="2" max="2" width="8.33203125" style="923" customWidth="1"/>
    <col min="3" max="3" width="43.5" style="914" bestFit="1" customWidth="1"/>
    <col min="4" max="4" width="16.83203125" style="925" customWidth="1"/>
    <col min="5" max="5" width="27.6640625" style="914" bestFit="1" customWidth="1"/>
    <col min="6" max="6" width="44.5" style="924" customWidth="1"/>
    <col min="7" max="7" width="30.1640625" style="914" customWidth="1"/>
    <col min="8" max="8" width="13.5" style="914" customWidth="1"/>
    <col min="9" max="9" width="124.1640625" style="924" customWidth="1"/>
    <col min="10" max="10" width="2.6640625" style="914" customWidth="1"/>
    <col min="11" max="11" width="8.6640625" style="914" hidden="1" customWidth="1"/>
    <col min="12" max="12" width="17.1640625" style="914" hidden="1" customWidth="1"/>
    <col min="13" max="14" width="11.1640625" style="914" hidden="1" customWidth="1"/>
    <col min="15" max="16384" width="8.6640625" style="914" hidden="1"/>
  </cols>
  <sheetData>
    <row r="1" spans="1:23" s="997" customFormat="1" ht="34">
      <c r="A1" s="154"/>
      <c r="B1" s="422" t="s">
        <v>1618</v>
      </c>
      <c r="C1" s="422"/>
      <c r="D1" s="424"/>
      <c r="E1" s="424"/>
      <c r="F1" s="994" t="s">
        <v>1615</v>
      </c>
      <c r="G1" s="423"/>
      <c r="H1" s="422"/>
      <c r="I1" s="422"/>
      <c r="J1" s="996"/>
      <c r="K1" s="996"/>
      <c r="L1" s="996"/>
      <c r="M1" s="996"/>
      <c r="N1" s="996"/>
      <c r="O1" s="996"/>
      <c r="P1" s="996"/>
      <c r="Q1" s="996"/>
      <c r="R1" s="996"/>
      <c r="S1" s="996"/>
      <c r="T1" s="996"/>
      <c r="U1" s="996"/>
      <c r="V1" s="996"/>
      <c r="W1" s="996"/>
    </row>
    <row r="2" spans="1:23" s="997" customFormat="1" ht="20" thickBot="1">
      <c r="A2" s="154"/>
      <c r="B2" s="423"/>
      <c r="C2" s="998"/>
      <c r="D2" s="999"/>
      <c r="E2" s="999"/>
      <c r="F2" s="998"/>
      <c r="G2" s="998"/>
      <c r="H2" s="998"/>
      <c r="I2" s="998"/>
      <c r="J2" s="996"/>
      <c r="K2" s="996"/>
      <c r="L2" s="996"/>
      <c r="M2" s="996"/>
      <c r="N2" s="996"/>
      <c r="O2" s="996"/>
      <c r="P2" s="996"/>
      <c r="Q2" s="996"/>
      <c r="R2" s="996"/>
      <c r="S2" s="996"/>
      <c r="T2" s="996"/>
      <c r="U2" s="996"/>
      <c r="V2" s="996"/>
      <c r="W2" s="996"/>
    </row>
    <row r="3" spans="1:23" s="155" customFormat="1" ht="29" customHeight="1">
      <c r="B3" s="11"/>
      <c r="C3" s="11" t="s">
        <v>1</v>
      </c>
      <c r="D3" s="57" t="s">
        <v>1186</v>
      </c>
      <c r="E3" s="11" t="s">
        <v>992</v>
      </c>
      <c r="F3" s="57" t="s">
        <v>1187</v>
      </c>
      <c r="G3" s="57" t="s">
        <v>1188</v>
      </c>
      <c r="H3" s="1002" t="s">
        <v>1189</v>
      </c>
      <c r="I3" s="1002" t="s">
        <v>1190</v>
      </c>
    </row>
    <row r="4" spans="1:23" s="408" customFormat="1" ht="9.75" customHeight="1">
      <c r="A4" s="154"/>
      <c r="B4" s="1000"/>
      <c r="C4" s="1000"/>
      <c r="D4" s="1001"/>
      <c r="E4" s="1001"/>
      <c r="F4" s="1000"/>
      <c r="G4" s="1000"/>
      <c r="H4" s="1000"/>
      <c r="I4" s="1000"/>
      <c r="J4" s="824"/>
      <c r="K4" s="824"/>
      <c r="L4" s="824"/>
      <c r="M4" s="824"/>
      <c r="N4" s="824"/>
      <c r="O4" s="824"/>
      <c r="P4" s="824"/>
      <c r="Q4" s="824"/>
      <c r="R4" s="824"/>
      <c r="S4" s="824"/>
      <c r="T4" s="824"/>
      <c r="U4" s="824"/>
      <c r="V4" s="824"/>
      <c r="W4" s="824"/>
    </row>
    <row r="5" spans="1:23" s="915" customFormat="1" ht="19">
      <c r="A5" s="1056"/>
      <c r="B5" s="902" t="s">
        <v>76</v>
      </c>
      <c r="C5" s="916"/>
      <c r="D5" s="917"/>
      <c r="E5" s="916"/>
      <c r="F5" s="916"/>
      <c r="G5" s="916"/>
      <c r="H5" s="916"/>
      <c r="I5" s="918"/>
    </row>
    <row r="6" spans="1:23" ht="16">
      <c r="A6" s="866"/>
      <c r="B6" s="934" t="s">
        <v>1191</v>
      </c>
      <c r="C6" s="919"/>
      <c r="D6" s="920"/>
      <c r="E6" s="919"/>
      <c r="F6" s="919"/>
      <c r="G6" s="919"/>
      <c r="H6" s="919"/>
      <c r="I6" s="921"/>
      <c r="J6" s="913"/>
      <c r="K6" s="913"/>
    </row>
    <row r="7" spans="1:23" s="912" customFormat="1" ht="17">
      <c r="A7" s="922"/>
      <c r="B7" s="990"/>
      <c r="C7" s="926" t="s">
        <v>1192</v>
      </c>
      <c r="D7" s="927">
        <v>0.38521996819553</v>
      </c>
      <c r="E7" s="928" t="s">
        <v>1193</v>
      </c>
      <c r="F7" s="929" t="s">
        <v>1194</v>
      </c>
      <c r="G7" s="930" t="s">
        <v>1195</v>
      </c>
      <c r="H7" s="930" t="s">
        <v>1196</v>
      </c>
      <c r="I7" s="931" t="s">
        <v>1197</v>
      </c>
    </row>
    <row r="8" spans="1:23" ht="17">
      <c r="A8" s="866"/>
      <c r="B8" s="921"/>
      <c r="C8" s="926" t="s">
        <v>1198</v>
      </c>
      <c r="D8" s="927">
        <v>0</v>
      </c>
      <c r="E8" s="928" t="s">
        <v>1193</v>
      </c>
      <c r="F8" s="929" t="s">
        <v>1194</v>
      </c>
      <c r="G8" s="930" t="s">
        <v>1199</v>
      </c>
      <c r="H8" s="930" t="s">
        <v>1196</v>
      </c>
      <c r="I8" s="931" t="s">
        <v>1200</v>
      </c>
      <c r="J8" s="913"/>
      <c r="K8" s="913"/>
    </row>
    <row r="9" spans="1:23" ht="34">
      <c r="A9" s="866"/>
      <c r="B9" s="921"/>
      <c r="C9" s="926" t="s">
        <v>1201</v>
      </c>
      <c r="D9" s="932">
        <v>3.2509999999999999</v>
      </c>
      <c r="E9" s="933" t="s">
        <v>1172</v>
      </c>
      <c r="F9" s="929" t="s">
        <v>1194</v>
      </c>
      <c r="G9" s="912" t="s">
        <v>1199</v>
      </c>
      <c r="H9" s="930" t="s">
        <v>1196</v>
      </c>
      <c r="I9" s="1197" t="s">
        <v>1834</v>
      </c>
      <c r="J9" s="913"/>
      <c r="K9" s="913"/>
    </row>
    <row r="10" spans="1:23" ht="34">
      <c r="A10" s="866"/>
      <c r="B10" s="921"/>
      <c r="C10" s="926" t="s">
        <v>1202</v>
      </c>
      <c r="D10" s="932">
        <v>2.7970000000000002</v>
      </c>
      <c r="E10" s="933" t="s">
        <v>1172</v>
      </c>
      <c r="F10" s="929" t="s">
        <v>1194</v>
      </c>
      <c r="G10" s="912" t="s">
        <v>1199</v>
      </c>
      <c r="H10" s="930" t="s">
        <v>1196</v>
      </c>
      <c r="I10" s="1197" t="s">
        <v>1833</v>
      </c>
      <c r="J10" s="913"/>
      <c r="K10" s="913"/>
    </row>
    <row r="11" spans="1:23" ht="34">
      <c r="A11" s="866"/>
      <c r="B11" s="921"/>
      <c r="C11" s="926" t="s">
        <v>1203</v>
      </c>
      <c r="D11" s="932">
        <v>0.441</v>
      </c>
      <c r="E11" s="933" t="s">
        <v>1172</v>
      </c>
      <c r="F11" s="929" t="s">
        <v>1194</v>
      </c>
      <c r="G11" s="912" t="s">
        <v>1199</v>
      </c>
      <c r="H11" s="912" t="s">
        <v>34</v>
      </c>
      <c r="I11" s="1197" t="s">
        <v>1835</v>
      </c>
      <c r="J11" s="913"/>
      <c r="K11" s="913"/>
    </row>
    <row r="12" spans="1:23" ht="34">
      <c r="A12" s="866"/>
      <c r="B12" s="921"/>
      <c r="C12" s="926" t="s">
        <v>1205</v>
      </c>
      <c r="D12" s="932">
        <v>2.1339999999999999</v>
      </c>
      <c r="E12" s="933" t="s">
        <v>1206</v>
      </c>
      <c r="F12" s="929" t="s">
        <v>1194</v>
      </c>
      <c r="G12" s="912" t="s">
        <v>1199</v>
      </c>
      <c r="H12" s="912" t="s">
        <v>34</v>
      </c>
      <c r="I12" s="1197" t="s">
        <v>1836</v>
      </c>
      <c r="J12" s="913"/>
      <c r="K12" s="913"/>
    </row>
    <row r="13" spans="1:23" ht="34">
      <c r="A13" s="866"/>
      <c r="B13" s="921"/>
      <c r="C13" s="926" t="s">
        <v>1207</v>
      </c>
      <c r="D13" s="932">
        <v>2.831</v>
      </c>
      <c r="E13" s="933" t="s">
        <v>1208</v>
      </c>
      <c r="F13" s="929" t="s">
        <v>1194</v>
      </c>
      <c r="G13" s="912" t="s">
        <v>1199</v>
      </c>
      <c r="H13" s="912" t="s">
        <v>34</v>
      </c>
      <c r="I13" s="1197" t="s">
        <v>1838</v>
      </c>
      <c r="J13" s="913"/>
      <c r="K13" s="913"/>
    </row>
    <row r="14" spans="1:23" ht="34">
      <c r="A14" s="866"/>
      <c r="B14" s="921"/>
      <c r="C14" s="926" t="s">
        <v>1209</v>
      </c>
      <c r="D14" s="932">
        <v>0.79400000000000004</v>
      </c>
      <c r="E14" s="933" t="s">
        <v>1208</v>
      </c>
      <c r="F14" s="929" t="s">
        <v>1194</v>
      </c>
      <c r="G14" s="912" t="s">
        <v>1199</v>
      </c>
      <c r="H14" s="912" t="s">
        <v>34</v>
      </c>
      <c r="I14" s="1197" t="s">
        <v>1837</v>
      </c>
      <c r="J14" s="913"/>
      <c r="K14" s="913"/>
    </row>
    <row r="15" spans="1:23" ht="17">
      <c r="A15" s="866"/>
      <c r="B15" s="921"/>
      <c r="C15" s="926" t="s">
        <v>1210</v>
      </c>
      <c r="D15" s="932">
        <v>12.516</v>
      </c>
      <c r="E15" s="933" t="s">
        <v>1208</v>
      </c>
      <c r="F15" s="929" t="s">
        <v>1194</v>
      </c>
      <c r="G15" s="912" t="s">
        <v>1199</v>
      </c>
      <c r="H15" s="912" t="s">
        <v>1211</v>
      </c>
      <c r="I15" s="1197" t="s">
        <v>1204</v>
      </c>
      <c r="J15" s="913"/>
      <c r="K15" s="913"/>
    </row>
    <row r="16" spans="1:23" ht="34">
      <c r="A16" s="866"/>
      <c r="B16" s="921"/>
      <c r="C16" s="926" t="s">
        <v>1212</v>
      </c>
      <c r="D16" s="932">
        <v>1.08</v>
      </c>
      <c r="E16" s="933" t="s">
        <v>1208</v>
      </c>
      <c r="F16" s="929" t="s">
        <v>1194</v>
      </c>
      <c r="G16" s="912" t="s">
        <v>1199</v>
      </c>
      <c r="H16" s="912" t="s">
        <v>1211</v>
      </c>
      <c r="I16" s="1197" t="s">
        <v>1835</v>
      </c>
      <c r="J16" s="913"/>
      <c r="K16" s="913"/>
    </row>
    <row r="17" spans="1:11" ht="17">
      <c r="A17" s="866"/>
      <c r="B17" s="921"/>
      <c r="C17" s="912" t="s">
        <v>1213</v>
      </c>
      <c r="D17" s="927">
        <f>'EF-background info'!D18</f>
        <v>36.72</v>
      </c>
      <c r="E17" s="912" t="s">
        <v>1214</v>
      </c>
      <c r="F17" s="929" t="s">
        <v>1194</v>
      </c>
      <c r="G17" s="912" t="s">
        <v>1215</v>
      </c>
      <c r="H17" s="912" t="s">
        <v>1211</v>
      </c>
      <c r="I17" s="930" t="s">
        <v>1216</v>
      </c>
      <c r="J17" s="913"/>
      <c r="K17" s="913"/>
    </row>
    <row r="18" spans="1:11" ht="17">
      <c r="A18" s="866"/>
      <c r="B18" s="921"/>
      <c r="C18" s="912" t="s">
        <v>1217</v>
      </c>
      <c r="D18" s="927">
        <f>'EF-background info'!D24</f>
        <v>31.608999999999998</v>
      </c>
      <c r="E18" s="912" t="s">
        <v>1214</v>
      </c>
      <c r="F18" s="929" t="s">
        <v>1194</v>
      </c>
      <c r="G18" s="912" t="s">
        <v>1215</v>
      </c>
      <c r="H18" s="912" t="s">
        <v>1211</v>
      </c>
      <c r="I18" s="930" t="s">
        <v>1216</v>
      </c>
      <c r="J18" s="913"/>
      <c r="K18" s="913"/>
    </row>
    <row r="19" spans="1:11" ht="17">
      <c r="B19" s="921"/>
      <c r="C19" s="912" t="s">
        <v>1218</v>
      </c>
      <c r="D19" s="927">
        <f>'EF-background info'!D29</f>
        <v>44.577464788732392</v>
      </c>
      <c r="E19" s="912" t="s">
        <v>1219</v>
      </c>
      <c r="F19" s="929" t="s">
        <v>1194</v>
      </c>
      <c r="G19" s="912" t="s">
        <v>1215</v>
      </c>
      <c r="H19" s="912" t="s">
        <v>1211</v>
      </c>
      <c r="I19" s="930" t="s">
        <v>1216</v>
      </c>
    </row>
    <row r="20" spans="1:11" ht="17">
      <c r="B20" s="921"/>
      <c r="C20" s="912" t="s">
        <v>1220</v>
      </c>
      <c r="D20" s="927">
        <v>31.65</v>
      </c>
      <c r="E20" s="912" t="s">
        <v>1221</v>
      </c>
      <c r="F20" s="929" t="s">
        <v>1194</v>
      </c>
      <c r="G20" s="912" t="s">
        <v>1215</v>
      </c>
      <c r="H20" s="912" t="s">
        <v>1211</v>
      </c>
      <c r="I20" s="930" t="s">
        <v>1216</v>
      </c>
    </row>
    <row r="21" spans="1:11" s="912" customFormat="1" ht="16">
      <c r="A21" s="922"/>
      <c r="D21" s="927"/>
      <c r="F21" s="930"/>
      <c r="I21" s="930"/>
    </row>
    <row r="22" spans="1:11" s="915" customFormat="1" ht="19">
      <c r="A22" s="1056"/>
      <c r="B22" s="958" t="s">
        <v>107</v>
      </c>
      <c r="C22" s="903"/>
      <c r="D22" s="903"/>
      <c r="E22" s="903"/>
      <c r="F22" s="903"/>
      <c r="G22" s="903"/>
      <c r="H22" s="903"/>
      <c r="I22" s="903"/>
    </row>
    <row r="23" spans="1:11" s="912" customFormat="1" ht="17">
      <c r="A23" s="922"/>
      <c r="B23" s="896"/>
      <c r="C23" s="912" t="s">
        <v>1223</v>
      </c>
      <c r="D23" s="935">
        <v>1935.2</v>
      </c>
      <c r="E23" s="912" t="s">
        <v>1224</v>
      </c>
      <c r="F23" s="930" t="s">
        <v>1194</v>
      </c>
      <c r="G23" s="912" t="s">
        <v>1225</v>
      </c>
      <c r="H23" s="912" t="s">
        <v>1211</v>
      </c>
      <c r="I23" s="930" t="s">
        <v>1226</v>
      </c>
    </row>
    <row r="24" spans="1:11" s="912" customFormat="1" ht="17">
      <c r="A24" s="922"/>
      <c r="B24" s="896"/>
      <c r="C24" s="912" t="s">
        <v>1227</v>
      </c>
      <c r="D24" s="935">
        <f>(0.65/2*D23)</f>
        <v>628.94000000000005</v>
      </c>
      <c r="E24" s="912" t="s">
        <v>1224</v>
      </c>
      <c r="F24" s="930" t="s">
        <v>1228</v>
      </c>
      <c r="G24" s="912" t="s">
        <v>1225</v>
      </c>
      <c r="H24" s="912" t="s">
        <v>1211</v>
      </c>
      <c r="I24" s="930" t="s">
        <v>1229</v>
      </c>
    </row>
    <row r="25" spans="1:11" s="912" customFormat="1" ht="17">
      <c r="A25" s="922"/>
      <c r="B25" s="896"/>
      <c r="C25" s="912" t="s">
        <v>1230</v>
      </c>
      <c r="D25" s="935">
        <v>8078.4887931034482</v>
      </c>
      <c r="E25" s="912" t="s">
        <v>1224</v>
      </c>
      <c r="F25" s="929" t="s">
        <v>1194</v>
      </c>
      <c r="G25" s="912" t="s">
        <v>1231</v>
      </c>
      <c r="H25" s="912" t="s">
        <v>1196</v>
      </c>
      <c r="I25" s="930"/>
    </row>
    <row r="26" spans="1:11" s="912" customFormat="1" ht="17">
      <c r="A26" s="922"/>
      <c r="B26" s="896"/>
      <c r="C26" s="912" t="s">
        <v>1232</v>
      </c>
      <c r="D26" s="935">
        <v>2858.4410344827579</v>
      </c>
      <c r="E26" s="912" t="s">
        <v>1224</v>
      </c>
      <c r="F26" s="929" t="s">
        <v>1194</v>
      </c>
      <c r="G26" s="1210" t="s">
        <v>1233</v>
      </c>
      <c r="H26" s="912" t="s">
        <v>1196</v>
      </c>
      <c r="I26" s="930"/>
    </row>
    <row r="27" spans="1:11" s="912" customFormat="1" ht="17">
      <c r="A27" s="922"/>
      <c r="B27" s="896"/>
      <c r="C27" s="912" t="s">
        <v>1234</v>
      </c>
      <c r="D27" s="935">
        <f>('EF-background info'!D125)*1000</f>
        <v>5304.06</v>
      </c>
      <c r="E27" s="912" t="s">
        <v>1224</v>
      </c>
      <c r="F27" s="930" t="s">
        <v>1228</v>
      </c>
      <c r="G27" s="912" t="s">
        <v>1225</v>
      </c>
      <c r="H27" s="912" t="s">
        <v>1211</v>
      </c>
      <c r="I27" s="930" t="s">
        <v>1235</v>
      </c>
    </row>
    <row r="28" spans="1:11" s="912" customFormat="1" ht="17">
      <c r="A28" s="922"/>
      <c r="B28" s="896"/>
      <c r="C28" s="912" t="s">
        <v>1236</v>
      </c>
      <c r="D28" s="935">
        <f>(0.65/2*D27)</f>
        <v>1723.8195000000003</v>
      </c>
      <c r="E28" s="912" t="s">
        <v>1224</v>
      </c>
      <c r="F28" s="930" t="s">
        <v>1228</v>
      </c>
      <c r="G28" s="912" t="s">
        <v>1225</v>
      </c>
      <c r="H28" s="912" t="s">
        <v>1211</v>
      </c>
      <c r="I28" s="930" t="s">
        <v>1237</v>
      </c>
    </row>
    <row r="29" spans="1:11" s="912" customFormat="1" ht="17">
      <c r="A29" s="922"/>
      <c r="B29" s="896"/>
      <c r="C29" s="912" t="s">
        <v>1238</v>
      </c>
      <c r="D29" s="935">
        <v>823</v>
      </c>
      <c r="E29" s="912" t="s">
        <v>1224</v>
      </c>
      <c r="F29" s="930" t="s">
        <v>1194</v>
      </c>
      <c r="G29" s="912" t="s">
        <v>1225</v>
      </c>
      <c r="H29" s="912" t="s">
        <v>1211</v>
      </c>
      <c r="I29" s="930" t="s">
        <v>1239</v>
      </c>
    </row>
    <row r="30" spans="1:11" s="912" customFormat="1" ht="17">
      <c r="A30" s="922"/>
      <c r="B30" s="896"/>
      <c r="C30" s="912" t="s">
        <v>1375</v>
      </c>
      <c r="D30" s="935">
        <f>113/1000</f>
        <v>0.113</v>
      </c>
      <c r="E30" s="912" t="s">
        <v>1208</v>
      </c>
      <c r="F30" s="930" t="s">
        <v>1194</v>
      </c>
      <c r="G30" s="912" t="s">
        <v>1376</v>
      </c>
      <c r="H30" s="912" t="s">
        <v>1211</v>
      </c>
      <c r="I30" s="930"/>
    </row>
    <row r="31" spans="1:11" s="912" customFormat="1" ht="17">
      <c r="A31" s="922"/>
      <c r="B31" s="896"/>
      <c r="C31" s="1210" t="s">
        <v>1917</v>
      </c>
      <c r="D31" s="1212">
        <v>15780</v>
      </c>
      <c r="E31" s="912" t="s">
        <v>1224</v>
      </c>
      <c r="F31" s="1210" t="s">
        <v>1194</v>
      </c>
      <c r="G31" s="912" t="s">
        <v>1195</v>
      </c>
      <c r="H31" s="912" t="s">
        <v>1211</v>
      </c>
      <c r="I31" s="1211" t="s">
        <v>1923</v>
      </c>
    </row>
    <row r="32" spans="1:11" s="912" customFormat="1" ht="17">
      <c r="A32" s="922"/>
      <c r="B32" s="896"/>
      <c r="C32" s="1210" t="s">
        <v>1918</v>
      </c>
      <c r="D32" s="935">
        <v>5200</v>
      </c>
      <c r="E32" s="912" t="s">
        <v>1224</v>
      </c>
      <c r="F32" s="1210" t="s">
        <v>1925</v>
      </c>
      <c r="H32" s="912" t="s">
        <v>1211</v>
      </c>
      <c r="I32" s="1211" t="s">
        <v>1921</v>
      </c>
    </row>
    <row r="33" spans="1:9" s="912" customFormat="1" ht="17">
      <c r="A33" s="922"/>
      <c r="B33" s="896"/>
      <c r="C33" s="1210" t="s">
        <v>1919</v>
      </c>
      <c r="D33" s="935">
        <v>8230</v>
      </c>
      <c r="E33" s="912" t="s">
        <v>1224</v>
      </c>
      <c r="F33" s="1210" t="s">
        <v>1194</v>
      </c>
      <c r="G33" s="1210" t="s">
        <v>1195</v>
      </c>
      <c r="H33" s="912" t="s">
        <v>1211</v>
      </c>
      <c r="I33" s="1211" t="s">
        <v>1924</v>
      </c>
    </row>
    <row r="34" spans="1:9" s="912" customFormat="1" ht="17">
      <c r="A34" s="922"/>
      <c r="B34" s="896"/>
      <c r="C34" s="1210" t="s">
        <v>1920</v>
      </c>
      <c r="D34" s="935">
        <v>2400</v>
      </c>
      <c r="E34" s="912" t="s">
        <v>1224</v>
      </c>
      <c r="F34" s="1210" t="s">
        <v>1926</v>
      </c>
      <c r="H34" s="912" t="s">
        <v>1211</v>
      </c>
      <c r="I34" s="1211" t="s">
        <v>1922</v>
      </c>
    </row>
    <row r="35" spans="1:9" s="912" customFormat="1" ht="17">
      <c r="A35" s="922"/>
      <c r="B35" s="896"/>
      <c r="C35" s="912" t="s">
        <v>1242</v>
      </c>
      <c r="D35" s="935">
        <f>('EF-background info'!D112)*1000</f>
        <v>1807.4000000000003</v>
      </c>
      <c r="E35" s="912" t="s">
        <v>1224</v>
      </c>
      <c r="F35" s="930" t="s">
        <v>1194</v>
      </c>
      <c r="G35" s="912" t="s">
        <v>1243</v>
      </c>
      <c r="H35" s="912" t="s">
        <v>1211</v>
      </c>
      <c r="I35" s="930" t="s">
        <v>1244</v>
      </c>
    </row>
    <row r="36" spans="1:9" s="912" customFormat="1" ht="17">
      <c r="A36" s="922"/>
      <c r="B36" s="896"/>
      <c r="C36" s="912" t="s">
        <v>1245</v>
      </c>
      <c r="D36" s="935">
        <v>399.2</v>
      </c>
      <c r="E36" s="912" t="s">
        <v>1224</v>
      </c>
      <c r="F36" s="930" t="s">
        <v>1194</v>
      </c>
      <c r="G36" s="912" t="s">
        <v>1225</v>
      </c>
      <c r="H36" s="912" t="s">
        <v>1211</v>
      </c>
      <c r="I36" s="930" t="s">
        <v>1246</v>
      </c>
    </row>
    <row r="37" spans="1:9" s="912" customFormat="1" ht="17">
      <c r="A37" s="922"/>
      <c r="B37" s="896"/>
      <c r="C37" s="912" t="s">
        <v>1247</v>
      </c>
      <c r="D37" s="936">
        <f>'EF-background info'!D119*1000</f>
        <v>446.70051839035256</v>
      </c>
      <c r="E37" s="912" t="s">
        <v>1224</v>
      </c>
      <c r="F37" s="930" t="s">
        <v>1228</v>
      </c>
      <c r="G37" s="912" t="s">
        <v>1248</v>
      </c>
      <c r="H37" s="912" t="s">
        <v>1211</v>
      </c>
      <c r="I37" s="930"/>
    </row>
    <row r="38" spans="1:9" s="912" customFormat="1" ht="17">
      <c r="A38" s="922"/>
      <c r="B38" s="896"/>
      <c r="C38" s="912" t="s">
        <v>1249</v>
      </c>
      <c r="D38" s="935">
        <v>741</v>
      </c>
      <c r="E38" s="912" t="s">
        <v>1224</v>
      </c>
      <c r="F38" s="930" t="s">
        <v>1194</v>
      </c>
      <c r="G38" s="912" t="s">
        <v>1195</v>
      </c>
      <c r="I38" s="930"/>
    </row>
    <row r="39" spans="1:9" s="912" customFormat="1" ht="17">
      <c r="A39" s="922"/>
      <c r="B39" s="896"/>
      <c r="C39" s="912" t="s">
        <v>1250</v>
      </c>
      <c r="D39" s="935">
        <f>62%*D38</f>
        <v>459.42</v>
      </c>
      <c r="E39" s="912" t="s">
        <v>1224</v>
      </c>
      <c r="F39" s="930" t="s">
        <v>1194</v>
      </c>
      <c r="H39" s="912" t="s">
        <v>1196</v>
      </c>
      <c r="I39" s="930" t="s">
        <v>1251</v>
      </c>
    </row>
    <row r="40" spans="1:9" s="912" customFormat="1" ht="17">
      <c r="A40" s="922"/>
      <c r="B40" s="896"/>
      <c r="C40" s="1199" t="s">
        <v>1855</v>
      </c>
      <c r="D40" s="927">
        <f>0.066687575*1000+'EF-background info'!D138*50</f>
        <v>73.195398533887044</v>
      </c>
      <c r="E40" s="912" t="s">
        <v>1224</v>
      </c>
      <c r="F40" s="930" t="s">
        <v>1228</v>
      </c>
      <c r="G40" s="912" t="s">
        <v>1195</v>
      </c>
      <c r="H40" s="912" t="s">
        <v>1196</v>
      </c>
      <c r="I40" s="930" t="s">
        <v>1252</v>
      </c>
    </row>
    <row r="41" spans="1:9" s="912" customFormat="1" ht="17">
      <c r="A41" s="922"/>
      <c r="B41" s="896"/>
      <c r="C41" s="1199" t="s">
        <v>1856</v>
      </c>
      <c r="D41" s="927">
        <f>0.0127899351505271*1000+'EF-background info'!D138*50</f>
        <v>19.297758684414148</v>
      </c>
      <c r="E41" s="912" t="s">
        <v>1224</v>
      </c>
      <c r="F41" s="930" t="s">
        <v>1194</v>
      </c>
      <c r="G41" s="912" t="s">
        <v>1195</v>
      </c>
      <c r="H41" s="912" t="s">
        <v>1196</v>
      </c>
      <c r="I41" s="930" t="s">
        <v>1252</v>
      </c>
    </row>
    <row r="42" spans="1:9" s="912" customFormat="1" ht="17">
      <c r="A42" s="922"/>
      <c r="B42" s="896"/>
      <c r="C42" s="1199" t="s">
        <v>1857</v>
      </c>
      <c r="D42" s="927">
        <f>0.264230840572107*1000+'EF-background info'!D138*50</f>
        <v>270.73866410599408</v>
      </c>
      <c r="E42" s="912" t="s">
        <v>1224</v>
      </c>
      <c r="F42" s="930" t="s">
        <v>1194</v>
      </c>
      <c r="G42" s="912" t="s">
        <v>1195</v>
      </c>
      <c r="H42" s="912" t="s">
        <v>1196</v>
      </c>
      <c r="I42" s="930" t="s">
        <v>1252</v>
      </c>
    </row>
    <row r="43" spans="1:9" s="912" customFormat="1" ht="17">
      <c r="A43" s="922"/>
      <c r="B43" s="896"/>
      <c r="C43" s="1199" t="s">
        <v>1858</v>
      </c>
      <c r="D43" s="927">
        <f>0.0250586487152939*1000+'EF-background info'!D138*50</f>
        <v>31.566472249180947</v>
      </c>
      <c r="E43" s="912" t="s">
        <v>1224</v>
      </c>
      <c r="F43" s="930" t="s">
        <v>1194</v>
      </c>
      <c r="G43" s="912" t="s">
        <v>1195</v>
      </c>
      <c r="H43" s="912" t="s">
        <v>1196</v>
      </c>
      <c r="I43" s="930" t="s">
        <v>1252</v>
      </c>
    </row>
    <row r="44" spans="1:9" s="912" customFormat="1" ht="17">
      <c r="A44" s="922"/>
      <c r="B44" s="896"/>
      <c r="C44" s="1199" t="s">
        <v>1859</v>
      </c>
      <c r="D44" s="927">
        <f>0.0320116829257476*1000+'EF-background info'!D138*50</f>
        <v>38.519506459634648</v>
      </c>
      <c r="E44" s="912" t="s">
        <v>1224</v>
      </c>
      <c r="F44" s="930" t="s">
        <v>1194</v>
      </c>
      <c r="G44" s="912" t="s">
        <v>1195</v>
      </c>
      <c r="H44" s="912" t="s">
        <v>1196</v>
      </c>
      <c r="I44" s="930" t="s">
        <v>1252</v>
      </c>
    </row>
    <row r="45" spans="1:9" s="912" customFormat="1" ht="17">
      <c r="A45" s="922"/>
      <c r="B45" s="896"/>
      <c r="C45" s="1199" t="s">
        <v>1860</v>
      </c>
      <c r="D45" s="927">
        <f>0.0309495482634077*1000*50%+0.0207430515408246*1000*50%+'EF-background info'!D138*50</f>
        <v>32.354123436003199</v>
      </c>
      <c r="E45" s="912" t="s">
        <v>1224</v>
      </c>
      <c r="F45" s="930" t="s">
        <v>1194</v>
      </c>
      <c r="G45" s="912" t="s">
        <v>1195</v>
      </c>
      <c r="H45" s="912" t="s">
        <v>1196</v>
      </c>
      <c r="I45" s="930" t="s">
        <v>1253</v>
      </c>
    </row>
    <row r="46" spans="1:9" s="912" customFormat="1" ht="17">
      <c r="A46" s="922"/>
      <c r="B46" s="896"/>
      <c r="C46" s="1199" t="s">
        <v>1861</v>
      </c>
      <c r="D46" s="927">
        <f>0.0904177421776038*1000+'EF-background info'!D138*50</f>
        <v>96.925565711490847</v>
      </c>
      <c r="E46" s="912" t="s">
        <v>1224</v>
      </c>
      <c r="F46" s="930" t="s">
        <v>1194</v>
      </c>
      <c r="G46" s="912" t="s">
        <v>1195</v>
      </c>
      <c r="H46" s="912" t="s">
        <v>1196</v>
      </c>
      <c r="I46" s="930" t="s">
        <v>1254</v>
      </c>
    </row>
    <row r="47" spans="1:9" s="912" customFormat="1" ht="17">
      <c r="A47" s="922"/>
      <c r="B47" s="896"/>
      <c r="C47" s="1199" t="s">
        <v>1854</v>
      </c>
      <c r="D47" s="927">
        <f>0.0168786521649118*1000+'EF-background info'!D138*50</f>
        <v>23.386475698798847</v>
      </c>
      <c r="E47" s="912" t="s">
        <v>1224</v>
      </c>
      <c r="F47" s="930" t="s">
        <v>1194</v>
      </c>
      <c r="G47" s="912" t="s">
        <v>1195</v>
      </c>
      <c r="H47" s="912" t="s">
        <v>1196</v>
      </c>
      <c r="I47" s="930" t="s">
        <v>1255</v>
      </c>
    </row>
    <row r="48" spans="1:9" s="912" customFormat="1" ht="17">
      <c r="A48" s="922"/>
      <c r="B48" s="896"/>
      <c r="C48" s="1199" t="s">
        <v>1853</v>
      </c>
      <c r="D48" s="927">
        <f>'EF-background info'!D139*(1.29/1000)+'EF-background info'!D142*(8.616/1000)+'EF-background info'!D138*50</f>
        <v>6.5091125037506803</v>
      </c>
      <c r="E48" s="912" t="s">
        <v>1224</v>
      </c>
      <c r="F48" s="930" t="s">
        <v>1194</v>
      </c>
      <c r="G48" s="912" t="s">
        <v>1195</v>
      </c>
      <c r="H48" s="912" t="s">
        <v>1196</v>
      </c>
      <c r="I48" s="930" t="s">
        <v>1256</v>
      </c>
    </row>
    <row r="49" spans="1:9" s="912" customFormat="1" ht="17">
      <c r="A49" s="922"/>
      <c r="B49" s="896"/>
      <c r="C49" s="912" t="s">
        <v>1257</v>
      </c>
      <c r="D49" s="927">
        <v>2.2410000000000001</v>
      </c>
      <c r="E49" s="912" t="s">
        <v>1208</v>
      </c>
      <c r="F49" s="930" t="s">
        <v>1194</v>
      </c>
      <c r="G49" s="912" t="s">
        <v>1225</v>
      </c>
      <c r="H49" s="912" t="s">
        <v>1211</v>
      </c>
      <c r="I49" s="930" t="s">
        <v>1258</v>
      </c>
    </row>
    <row r="50" spans="1:9" s="912" customFormat="1" ht="17">
      <c r="A50" s="922"/>
      <c r="B50" s="896"/>
      <c r="C50" s="912" t="s">
        <v>1259</v>
      </c>
      <c r="D50" s="927">
        <f>0.519155310855171*1000+'EF-background info'!D138*50</f>
        <v>525.66313438905809</v>
      </c>
      <c r="E50" s="912" t="s">
        <v>1224</v>
      </c>
      <c r="F50" s="930" t="s">
        <v>1194</v>
      </c>
      <c r="G50" s="912" t="s">
        <v>1195</v>
      </c>
      <c r="H50" s="912" t="s">
        <v>1196</v>
      </c>
      <c r="I50" s="930" t="s">
        <v>1260</v>
      </c>
    </row>
    <row r="51" spans="1:9" s="912" customFormat="1" ht="17">
      <c r="A51" s="922"/>
      <c r="B51" s="896"/>
      <c r="C51" s="912" t="s">
        <v>1261</v>
      </c>
      <c r="D51" s="927">
        <f>0.519155310855171*1000+'EF-background info'!D138*50</f>
        <v>525.66313438905809</v>
      </c>
      <c r="E51" s="912" t="s">
        <v>1224</v>
      </c>
      <c r="F51" s="930" t="s">
        <v>1194</v>
      </c>
      <c r="G51" s="912" t="s">
        <v>1195</v>
      </c>
      <c r="H51" s="912" t="s">
        <v>1196</v>
      </c>
      <c r="I51" s="930" t="s">
        <v>1260</v>
      </c>
    </row>
    <row r="52" spans="1:9" s="912" customFormat="1" ht="16">
      <c r="A52" s="922"/>
      <c r="B52" s="896"/>
      <c r="C52" s="912" t="s">
        <v>1262</v>
      </c>
      <c r="D52" s="937">
        <v>0.3</v>
      </c>
      <c r="E52" s="912" t="s">
        <v>1263</v>
      </c>
      <c r="F52" s="912" t="s">
        <v>1264</v>
      </c>
      <c r="H52" s="912" t="s">
        <v>34</v>
      </c>
      <c r="I52" s="930"/>
    </row>
    <row r="53" spans="1:9" s="912" customFormat="1" ht="16">
      <c r="A53" s="922"/>
      <c r="B53" s="896"/>
      <c r="C53" s="912" t="s">
        <v>1265</v>
      </c>
      <c r="D53" s="939">
        <v>0.02</v>
      </c>
      <c r="E53" s="912" t="s">
        <v>1266</v>
      </c>
      <c r="F53" s="912" t="s">
        <v>1194</v>
      </c>
      <c r="G53" s="912" t="s">
        <v>1267</v>
      </c>
      <c r="H53" s="912" t="s">
        <v>1196</v>
      </c>
      <c r="I53" s="930"/>
    </row>
    <row r="54" spans="1:9" s="912" customFormat="1" ht="16">
      <c r="A54" s="922"/>
      <c r="B54" s="896"/>
      <c r="C54" s="912" t="s">
        <v>1268</v>
      </c>
      <c r="D54" s="939">
        <v>7.1000000000000004E-3</v>
      </c>
      <c r="E54" s="912" t="s">
        <v>1266</v>
      </c>
      <c r="F54" s="912" t="s">
        <v>1194</v>
      </c>
      <c r="G54" s="912" t="s">
        <v>1269</v>
      </c>
      <c r="H54" s="912" t="s">
        <v>1196</v>
      </c>
      <c r="I54" s="930"/>
    </row>
    <row r="55" spans="1:9" s="912" customFormat="1" ht="16">
      <c r="A55" s="922"/>
      <c r="B55" s="896"/>
      <c r="C55" s="912" t="s">
        <v>1270</v>
      </c>
      <c r="D55" s="939">
        <v>0.191</v>
      </c>
      <c r="E55" s="912" t="s">
        <v>1266</v>
      </c>
      <c r="F55" s="912" t="s">
        <v>1194</v>
      </c>
      <c r="G55" s="912" t="s">
        <v>1271</v>
      </c>
      <c r="H55" s="912" t="s">
        <v>1196</v>
      </c>
      <c r="I55" s="930"/>
    </row>
    <row r="56" spans="1:9" s="912" customFormat="1" ht="17">
      <c r="A56" s="922"/>
      <c r="B56" s="896"/>
      <c r="C56" s="912" t="s">
        <v>1272</v>
      </c>
      <c r="D56" s="939">
        <v>9.2999999999999992E-3</v>
      </c>
      <c r="E56" s="912" t="s">
        <v>1266</v>
      </c>
      <c r="F56" s="912" t="s">
        <v>1194</v>
      </c>
      <c r="G56" s="912" t="s">
        <v>1273</v>
      </c>
      <c r="H56" s="912" t="s">
        <v>1196</v>
      </c>
      <c r="I56" s="930" t="s">
        <v>1611</v>
      </c>
    </row>
    <row r="57" spans="1:9" s="912" customFormat="1" ht="16">
      <c r="A57" s="922"/>
      <c r="B57" s="896"/>
      <c r="C57" s="912" t="s">
        <v>1274</v>
      </c>
      <c r="D57" s="939">
        <f>'EF-background info'!D131</f>
        <v>7.0000000000000001E-3</v>
      </c>
      <c r="E57" s="912" t="s">
        <v>1266</v>
      </c>
      <c r="F57" s="912" t="s">
        <v>1194</v>
      </c>
      <c r="G57" s="912" t="s">
        <v>1275</v>
      </c>
      <c r="H57" s="912" t="s">
        <v>1196</v>
      </c>
      <c r="I57" s="930"/>
    </row>
    <row r="58" spans="1:9" s="912" customFormat="1" ht="16">
      <c r="A58" s="922"/>
      <c r="B58" s="896"/>
      <c r="C58" s="912" t="s">
        <v>1276</v>
      </c>
      <c r="D58" s="939">
        <f>'EF-background info'!D134</f>
        <v>1.32E-2</v>
      </c>
      <c r="E58" s="912" t="s">
        <v>1266</v>
      </c>
      <c r="F58" s="912" t="s">
        <v>1194</v>
      </c>
      <c r="G58" s="912" t="s">
        <v>1277</v>
      </c>
      <c r="H58" s="912" t="s">
        <v>1196</v>
      </c>
      <c r="I58" s="930"/>
    </row>
    <row r="59" spans="1:9" s="912" customFormat="1" ht="17">
      <c r="A59" s="922"/>
      <c r="B59" s="896"/>
      <c r="C59" s="912" t="s">
        <v>1278</v>
      </c>
      <c r="D59" s="939">
        <v>1.63</v>
      </c>
      <c r="E59" s="912" t="s">
        <v>1279</v>
      </c>
      <c r="F59" s="912" t="s">
        <v>1194</v>
      </c>
      <c r="G59" s="912" t="s">
        <v>1225</v>
      </c>
      <c r="H59" s="912" t="s">
        <v>1196</v>
      </c>
      <c r="I59" s="930" t="s">
        <v>1280</v>
      </c>
    </row>
    <row r="60" spans="1:9" s="912" customFormat="1" ht="16">
      <c r="A60" s="922"/>
      <c r="B60" s="896"/>
      <c r="C60" s="1199" t="s">
        <v>1852</v>
      </c>
      <c r="D60" s="940">
        <f>D38</f>
        <v>741</v>
      </c>
      <c r="E60" s="912" t="str">
        <f>E38</f>
        <v>kg CO2-eq / tonne</v>
      </c>
      <c r="F60" s="912" t="str">
        <f>F38</f>
        <v>Directly linked to source</v>
      </c>
      <c r="G60" s="912" t="str">
        <f>G38</f>
        <v>Ecoinvent 3.8, IPCC 2021 GWP100</v>
      </c>
      <c r="I60" s="912" t="s">
        <v>1610</v>
      </c>
    </row>
    <row r="61" spans="1:9" s="912" customFormat="1" ht="16">
      <c r="A61" s="922"/>
      <c r="B61" s="896"/>
      <c r="C61" s="912" t="s">
        <v>1281</v>
      </c>
      <c r="D61" s="939">
        <v>0.03</v>
      </c>
      <c r="E61" s="912" t="s">
        <v>1282</v>
      </c>
      <c r="F61" s="912" t="s">
        <v>1194</v>
      </c>
      <c r="G61" s="912" t="s">
        <v>1283</v>
      </c>
      <c r="H61" s="912" t="s">
        <v>1196</v>
      </c>
      <c r="I61" s="930"/>
    </row>
    <row r="62" spans="1:9" s="912" customFormat="1" ht="16">
      <c r="A62" s="922"/>
      <c r="D62" s="939"/>
      <c r="I62" s="930"/>
    </row>
    <row r="63" spans="1:9" s="915" customFormat="1" ht="19">
      <c r="A63" s="1056"/>
      <c r="B63" s="904" t="s">
        <v>216</v>
      </c>
      <c r="C63" s="904"/>
      <c r="D63" s="904"/>
      <c r="E63" s="904"/>
      <c r="F63" s="904"/>
      <c r="G63" s="904"/>
      <c r="H63" s="904"/>
      <c r="I63" s="904"/>
    </row>
    <row r="64" spans="1:9" s="912" customFormat="1" ht="51">
      <c r="A64" s="922"/>
      <c r="B64" s="905"/>
      <c r="C64" s="912" t="s">
        <v>1284</v>
      </c>
      <c r="D64" s="941">
        <v>0</v>
      </c>
      <c r="E64" s="912" t="s">
        <v>1285</v>
      </c>
      <c r="F64" s="942" t="s">
        <v>1286</v>
      </c>
      <c r="H64" s="912" t="s">
        <v>34</v>
      </c>
      <c r="I64" s="930"/>
    </row>
    <row r="65" spans="1:9" s="912" customFormat="1" ht="34">
      <c r="A65" s="922"/>
      <c r="B65" s="905"/>
      <c r="C65" s="912" t="s">
        <v>1287</v>
      </c>
      <c r="D65" s="941">
        <v>0</v>
      </c>
      <c r="E65" s="912" t="s">
        <v>1285</v>
      </c>
      <c r="F65" s="942" t="s">
        <v>1288</v>
      </c>
      <c r="G65" s="912" t="s">
        <v>1199</v>
      </c>
      <c r="H65" s="912" t="s">
        <v>34</v>
      </c>
      <c r="I65" s="930"/>
    </row>
    <row r="66" spans="1:9" s="912" customFormat="1" ht="34">
      <c r="A66" s="922"/>
      <c r="B66" s="905"/>
      <c r="C66" s="912" t="s">
        <v>1289</v>
      </c>
      <c r="D66" s="941">
        <v>0.191</v>
      </c>
      <c r="E66" s="912" t="s">
        <v>1290</v>
      </c>
      <c r="F66" s="929" t="s">
        <v>1194</v>
      </c>
      <c r="G66" s="912" t="s">
        <v>1199</v>
      </c>
      <c r="H66" s="912" t="s">
        <v>34</v>
      </c>
      <c r="I66" s="1197" t="s">
        <v>1839</v>
      </c>
    </row>
    <row r="67" spans="1:9" s="912" customFormat="1" ht="34">
      <c r="A67" s="922"/>
      <c r="B67" s="905"/>
      <c r="C67" s="912" t="s">
        <v>1291</v>
      </c>
      <c r="D67" s="941">
        <v>6.2E-2</v>
      </c>
      <c r="E67" s="912" t="s">
        <v>1290</v>
      </c>
      <c r="F67" s="942" t="s">
        <v>1292</v>
      </c>
      <c r="G67" s="912" t="s">
        <v>1199</v>
      </c>
      <c r="H67" s="912" t="s">
        <v>34</v>
      </c>
      <c r="I67" s="1197" t="s">
        <v>1839</v>
      </c>
    </row>
    <row r="68" spans="1:9" s="912" customFormat="1" ht="51">
      <c r="A68" s="922"/>
      <c r="B68" s="905"/>
      <c r="C68" s="912" t="s">
        <v>1293</v>
      </c>
      <c r="D68" s="941">
        <v>0</v>
      </c>
      <c r="E68" s="912" t="s">
        <v>1285</v>
      </c>
      <c r="F68" s="942" t="s">
        <v>1286</v>
      </c>
      <c r="G68" s="912" t="s">
        <v>1199</v>
      </c>
      <c r="H68" s="912" t="s">
        <v>34</v>
      </c>
      <c r="I68" s="930"/>
    </row>
    <row r="69" spans="1:9" s="912" customFormat="1" ht="34">
      <c r="A69" s="922"/>
      <c r="B69" s="905"/>
      <c r="C69" s="912" t="s">
        <v>1294</v>
      </c>
      <c r="D69" s="941">
        <v>1.9E-2</v>
      </c>
      <c r="E69" s="912" t="s">
        <v>1285</v>
      </c>
      <c r="F69" s="942"/>
      <c r="G69" s="912" t="s">
        <v>1199</v>
      </c>
      <c r="H69" s="912" t="s">
        <v>34</v>
      </c>
      <c r="I69" s="1197" t="s">
        <v>1841</v>
      </c>
    </row>
    <row r="70" spans="1:9" s="912" customFormat="1" ht="34">
      <c r="A70" s="922"/>
      <c r="B70" s="905"/>
      <c r="C70" s="912" t="s">
        <v>1295</v>
      </c>
      <c r="D70" s="943">
        <v>9.1999999999999998E-2</v>
      </c>
      <c r="E70" s="912" t="s">
        <v>1296</v>
      </c>
      <c r="F70" s="942" t="s">
        <v>1292</v>
      </c>
      <c r="G70" s="912" t="s">
        <v>1199</v>
      </c>
      <c r="H70" s="912" t="s">
        <v>34</v>
      </c>
      <c r="I70" s="1197" t="s">
        <v>1840</v>
      </c>
    </row>
    <row r="71" spans="1:9" s="912" customFormat="1" ht="17">
      <c r="A71" s="922"/>
      <c r="B71" s="905"/>
      <c r="C71" s="912" t="s">
        <v>1297</v>
      </c>
      <c r="D71" s="944">
        <v>0</v>
      </c>
      <c r="E71" s="912" t="s">
        <v>1296</v>
      </c>
      <c r="F71" s="930" t="s">
        <v>1298</v>
      </c>
      <c r="G71" s="912" t="s">
        <v>25</v>
      </c>
      <c r="H71" s="912" t="s">
        <v>1211</v>
      </c>
      <c r="I71" s="930" t="s">
        <v>1299</v>
      </c>
    </row>
    <row r="72" spans="1:9" s="912" customFormat="1" ht="17">
      <c r="A72" s="922"/>
      <c r="B72" s="905"/>
      <c r="C72" s="912" t="s">
        <v>1300</v>
      </c>
      <c r="D72" s="943">
        <v>0.182</v>
      </c>
      <c r="E72" s="912" t="s">
        <v>1296</v>
      </c>
      <c r="F72" s="942" t="s">
        <v>1292</v>
      </c>
      <c r="G72" s="912" t="s">
        <v>1199</v>
      </c>
      <c r="H72" s="912" t="s">
        <v>34</v>
      </c>
      <c r="I72" s="930" t="s">
        <v>1301</v>
      </c>
    </row>
    <row r="73" spans="1:9" s="912" customFormat="1" ht="17">
      <c r="A73" s="922"/>
      <c r="B73" s="905"/>
      <c r="C73" s="912" t="s">
        <v>1302</v>
      </c>
      <c r="D73" s="943">
        <v>1.8738000000000001E-2</v>
      </c>
      <c r="E73" s="912" t="s">
        <v>1296</v>
      </c>
      <c r="F73" s="942" t="s">
        <v>1303</v>
      </c>
      <c r="G73" s="1198" t="s">
        <v>1842</v>
      </c>
      <c r="H73" s="912" t="s">
        <v>1304</v>
      </c>
      <c r="I73" s="930"/>
    </row>
    <row r="74" spans="1:9" s="912" customFormat="1" ht="16">
      <c r="A74" s="922"/>
      <c r="B74" s="905"/>
      <c r="C74" s="912" t="s">
        <v>1305</v>
      </c>
      <c r="D74" s="943">
        <v>0</v>
      </c>
      <c r="E74" s="912" t="s">
        <v>1296</v>
      </c>
      <c r="F74" s="942"/>
      <c r="I74" s="930"/>
    </row>
    <row r="75" spans="1:9" s="912" customFormat="1" ht="16">
      <c r="A75" s="922"/>
      <c r="D75" s="943"/>
      <c r="F75" s="942"/>
      <c r="I75" s="930"/>
    </row>
    <row r="76" spans="1:9" s="915" customFormat="1" ht="19">
      <c r="A76" s="1056"/>
      <c r="B76" s="910" t="s">
        <v>403</v>
      </c>
      <c r="C76" s="910"/>
      <c r="D76" s="910"/>
      <c r="E76" s="910"/>
      <c r="F76" s="910"/>
      <c r="G76" s="910"/>
      <c r="H76" s="910"/>
      <c r="I76" s="910"/>
    </row>
    <row r="77" spans="1:9" s="912" customFormat="1" ht="17">
      <c r="A77" s="922"/>
      <c r="B77" s="956"/>
      <c r="C77" s="912" t="s">
        <v>416</v>
      </c>
      <c r="D77" s="927">
        <f>'EF-background info'!D86</f>
        <v>1.7339003357442857</v>
      </c>
      <c r="E77" s="912" t="s">
        <v>1208</v>
      </c>
      <c r="F77" s="929" t="s">
        <v>1306</v>
      </c>
      <c r="G77" s="912" t="s">
        <v>1240</v>
      </c>
      <c r="H77" s="912" t="s">
        <v>1211</v>
      </c>
      <c r="I77" s="930" t="s">
        <v>1307</v>
      </c>
    </row>
    <row r="78" spans="1:9" s="912" customFormat="1" ht="17">
      <c r="A78" s="922"/>
      <c r="B78" s="956"/>
      <c r="C78" s="912" t="s">
        <v>1308</v>
      </c>
      <c r="D78" s="927">
        <v>0.35</v>
      </c>
      <c r="E78" s="912" t="s">
        <v>1208</v>
      </c>
      <c r="F78" s="929" t="s">
        <v>1194</v>
      </c>
      <c r="G78" s="945" t="s">
        <v>1195</v>
      </c>
      <c r="H78" s="912" t="s">
        <v>1211</v>
      </c>
      <c r="I78" s="930" t="s">
        <v>1309</v>
      </c>
    </row>
    <row r="79" spans="1:9" s="912" customFormat="1" ht="17">
      <c r="A79" s="922"/>
      <c r="B79" s="956"/>
      <c r="C79" s="912" t="s">
        <v>420</v>
      </c>
      <c r="D79" s="927">
        <f>'EF-background info'!D55</f>
        <v>0.16447540243757511</v>
      </c>
      <c r="E79" s="912" t="s">
        <v>1208</v>
      </c>
      <c r="F79" s="929" t="s">
        <v>1306</v>
      </c>
      <c r="G79" s="912" t="s">
        <v>1240</v>
      </c>
      <c r="H79" s="912" t="s">
        <v>1211</v>
      </c>
      <c r="I79" s="930" t="s">
        <v>1310</v>
      </c>
    </row>
    <row r="80" spans="1:9" s="912" customFormat="1" ht="17">
      <c r="A80" s="922"/>
      <c r="B80" s="956"/>
      <c r="C80" s="912" t="s">
        <v>1311</v>
      </c>
      <c r="D80" s="927">
        <f>'EF-background info'!D48</f>
        <v>1.8004000000000002</v>
      </c>
      <c r="E80" s="912" t="s">
        <v>1208</v>
      </c>
      <c r="F80" s="929" t="s">
        <v>1306</v>
      </c>
      <c r="G80" s="912" t="s">
        <v>1240</v>
      </c>
      <c r="H80" s="912" t="s">
        <v>1211</v>
      </c>
      <c r="I80" s="930" t="s">
        <v>1312</v>
      </c>
    </row>
    <row r="81" spans="1:11" s="912" customFormat="1" ht="17">
      <c r="A81" s="922"/>
      <c r="B81" s="956"/>
      <c r="C81" s="912" t="s">
        <v>1313</v>
      </c>
      <c r="D81" s="927">
        <f>'EF-background info'!D68</f>
        <v>4.0242356546090301</v>
      </c>
      <c r="E81" s="912" t="s">
        <v>1208</v>
      </c>
      <c r="F81" s="929" t="s">
        <v>1306</v>
      </c>
      <c r="G81" s="912" t="s">
        <v>1195</v>
      </c>
      <c r="H81" s="912" t="s">
        <v>1211</v>
      </c>
      <c r="I81" s="930" t="s">
        <v>1314</v>
      </c>
    </row>
    <row r="82" spans="1:11" s="912" customFormat="1" ht="17">
      <c r="A82" s="922"/>
      <c r="B82" s="956"/>
      <c r="C82" s="946" t="s">
        <v>1315</v>
      </c>
      <c r="D82" s="927">
        <f>'EF-background info'!$D$72*1.03</f>
        <v>0.85077999999999998</v>
      </c>
      <c r="E82" s="912" t="s">
        <v>1172</v>
      </c>
      <c r="F82" s="929" t="s">
        <v>1194</v>
      </c>
      <c r="G82" s="912" t="s">
        <v>1195</v>
      </c>
      <c r="H82" s="912" t="s">
        <v>1211</v>
      </c>
      <c r="I82" s="930" t="s">
        <v>1316</v>
      </c>
    </row>
    <row r="83" spans="1:11" s="912" customFormat="1" ht="17">
      <c r="A83" s="922"/>
      <c r="B83" s="956"/>
      <c r="C83" s="912" t="s">
        <v>426</v>
      </c>
      <c r="D83" s="927">
        <f>'EF-background info'!$I$39</f>
        <v>28</v>
      </c>
      <c r="E83" s="912" t="s">
        <v>1208</v>
      </c>
      <c r="F83" s="929" t="s">
        <v>1306</v>
      </c>
      <c r="G83" s="912" t="s">
        <v>1317</v>
      </c>
      <c r="H83" s="912" t="s">
        <v>1211</v>
      </c>
      <c r="I83" s="930" t="s">
        <v>1318</v>
      </c>
    </row>
    <row r="84" spans="1:11" s="912" customFormat="1" ht="17">
      <c r="A84" s="922"/>
      <c r="B84" s="956"/>
      <c r="C84" s="912" t="s">
        <v>428</v>
      </c>
      <c r="D84" s="927">
        <f>'EF-background info'!$J$39</f>
        <v>6</v>
      </c>
      <c r="E84" s="912" t="s">
        <v>1208</v>
      </c>
      <c r="F84" s="929" t="s">
        <v>1306</v>
      </c>
      <c r="G84" s="912" t="s">
        <v>1317</v>
      </c>
      <c r="H84" s="912" t="s">
        <v>1211</v>
      </c>
      <c r="I84" s="930" t="s">
        <v>1319</v>
      </c>
    </row>
    <row r="85" spans="1:11" s="912" customFormat="1" ht="17">
      <c r="A85" s="922"/>
      <c r="B85" s="956"/>
      <c r="C85" s="912" t="s">
        <v>1320</v>
      </c>
      <c r="D85" s="927">
        <f>'EF-background info'!D39</f>
        <v>20.666666666666668</v>
      </c>
      <c r="E85" s="912" t="s">
        <v>1208</v>
      </c>
      <c r="F85" s="929" t="s">
        <v>1306</v>
      </c>
      <c r="G85" s="912" t="s">
        <v>1317</v>
      </c>
      <c r="H85" s="912" t="s">
        <v>1211</v>
      </c>
      <c r="I85" s="930" t="s">
        <v>1321</v>
      </c>
    </row>
    <row r="86" spans="1:11" s="912" customFormat="1" ht="17">
      <c r="A86" s="922"/>
      <c r="B86" s="956"/>
      <c r="C86" s="912" t="s">
        <v>1322</v>
      </c>
      <c r="D86" s="927">
        <f>'EF-background info'!D62</f>
        <v>5.5</v>
      </c>
      <c r="E86" s="912" t="s">
        <v>1208</v>
      </c>
      <c r="F86" s="929" t="s">
        <v>1306</v>
      </c>
      <c r="G86" s="912" t="s">
        <v>1317</v>
      </c>
      <c r="H86" s="912" t="s">
        <v>1211</v>
      </c>
      <c r="I86" s="930" t="s">
        <v>1323</v>
      </c>
    </row>
    <row r="87" spans="1:11" s="912" customFormat="1" ht="17">
      <c r="A87" s="922"/>
      <c r="B87" s="956"/>
      <c r="C87" s="912" t="s">
        <v>1324</v>
      </c>
      <c r="D87" s="927">
        <v>0.16</v>
      </c>
      <c r="E87" s="912" t="s">
        <v>1172</v>
      </c>
      <c r="F87" s="929" t="s">
        <v>1194</v>
      </c>
      <c r="G87" s="912" t="s">
        <v>1325</v>
      </c>
      <c r="H87" s="912" t="s">
        <v>1211</v>
      </c>
      <c r="I87" s="930"/>
    </row>
    <row r="88" spans="1:11" s="912" customFormat="1" ht="17">
      <c r="A88" s="922"/>
      <c r="B88" s="956"/>
      <c r="C88" s="912" t="s">
        <v>1326</v>
      </c>
      <c r="D88" s="927">
        <f>58.7/100</f>
        <v>0.58700000000000008</v>
      </c>
      <c r="E88" s="912" t="s">
        <v>1172</v>
      </c>
      <c r="F88" s="929" t="s">
        <v>1194</v>
      </c>
      <c r="G88" s="945" t="s">
        <v>1327</v>
      </c>
      <c r="H88" s="912" t="s">
        <v>1211</v>
      </c>
      <c r="I88" s="930" t="s">
        <v>1328</v>
      </c>
    </row>
    <row r="89" spans="1:11" s="912" customFormat="1" ht="17">
      <c r="A89" s="922"/>
      <c r="B89" s="956"/>
      <c r="C89" s="912" t="s">
        <v>1329</v>
      </c>
      <c r="D89" s="927">
        <f>D88</f>
        <v>0.58700000000000008</v>
      </c>
      <c r="E89" s="912" t="s">
        <v>1172</v>
      </c>
      <c r="F89" s="929" t="s">
        <v>1330</v>
      </c>
      <c r="G89" s="945"/>
      <c r="H89" s="912" t="s">
        <v>1211</v>
      </c>
      <c r="I89" s="930" t="s">
        <v>1331</v>
      </c>
    </row>
    <row r="90" spans="1:11" s="912" customFormat="1" ht="17">
      <c r="A90" s="922"/>
      <c r="B90" s="956"/>
      <c r="C90" s="912" t="s">
        <v>1332</v>
      </c>
      <c r="D90" s="927">
        <f>2.75/0.75</f>
        <v>3.6666666666666665</v>
      </c>
      <c r="E90" s="912" t="s">
        <v>1172</v>
      </c>
      <c r="F90" s="929" t="s">
        <v>1194</v>
      </c>
      <c r="G90" s="945" t="s">
        <v>1333</v>
      </c>
      <c r="H90" s="912" t="s">
        <v>1211</v>
      </c>
      <c r="I90" s="930" t="s">
        <v>1334</v>
      </c>
      <c r="K90" s="957"/>
    </row>
    <row r="91" spans="1:11" s="912" customFormat="1" ht="17">
      <c r="A91" s="922"/>
      <c r="B91" s="956"/>
      <c r="C91" s="912" t="s">
        <v>1335</v>
      </c>
      <c r="D91" s="927">
        <v>0.04</v>
      </c>
      <c r="E91" s="912" t="s">
        <v>1172</v>
      </c>
      <c r="F91" s="929" t="s">
        <v>1194</v>
      </c>
      <c r="G91" s="912" t="s">
        <v>1336</v>
      </c>
      <c r="H91" s="912" t="s">
        <v>1211</v>
      </c>
      <c r="I91" s="930" t="s">
        <v>1337</v>
      </c>
    </row>
    <row r="92" spans="1:11" s="912" customFormat="1" ht="17">
      <c r="A92" s="922"/>
      <c r="B92" s="956"/>
      <c r="C92" s="912" t="s">
        <v>1338</v>
      </c>
      <c r="D92" s="927">
        <f>AVERAGE(0.555,0.312,0.293)</f>
        <v>0.38666666666666666</v>
      </c>
      <c r="E92" s="912" t="s">
        <v>1172</v>
      </c>
      <c r="F92" s="929" t="s">
        <v>1194</v>
      </c>
      <c r="G92" s="912" t="s">
        <v>1336</v>
      </c>
      <c r="H92" s="912" t="s">
        <v>1211</v>
      </c>
      <c r="I92" s="930" t="s">
        <v>1337</v>
      </c>
    </row>
    <row r="93" spans="1:11" s="912" customFormat="1" ht="17">
      <c r="A93" s="922"/>
      <c r="B93" s="956"/>
      <c r="C93" s="912" t="s">
        <v>1339</v>
      </c>
      <c r="D93" s="927">
        <f>'EF-background info'!D93</f>
        <v>1.0449204334375937</v>
      </c>
      <c r="E93" s="912" t="s">
        <v>1172</v>
      </c>
      <c r="F93" s="930" t="s">
        <v>1340</v>
      </c>
      <c r="G93" s="912" t="s">
        <v>1195</v>
      </c>
      <c r="H93" s="912" t="s">
        <v>1211</v>
      </c>
      <c r="I93" s="930"/>
    </row>
    <row r="94" spans="1:11" s="912" customFormat="1" ht="17">
      <c r="A94" s="922"/>
      <c r="B94" s="956"/>
      <c r="C94" s="912" t="s">
        <v>1341</v>
      </c>
      <c r="D94" s="927">
        <v>0.32040000000000002</v>
      </c>
      <c r="E94" s="912" t="s">
        <v>1172</v>
      </c>
      <c r="F94" s="930" t="s">
        <v>1194</v>
      </c>
      <c r="G94" s="912" t="s">
        <v>1240</v>
      </c>
      <c r="H94" s="912" t="s">
        <v>1211</v>
      </c>
      <c r="I94" s="930" t="s">
        <v>1342</v>
      </c>
    </row>
    <row r="95" spans="1:11" s="912" customFormat="1" ht="17">
      <c r="A95" s="922"/>
      <c r="B95" s="956"/>
      <c r="C95" s="912" t="s">
        <v>1343</v>
      </c>
      <c r="D95" s="927">
        <f>'EF-background info'!D76</f>
        <v>0.93258136000000003</v>
      </c>
      <c r="E95" s="912" t="s">
        <v>1172</v>
      </c>
      <c r="F95" s="930" t="s">
        <v>1340</v>
      </c>
      <c r="G95" s="912" t="s">
        <v>1195</v>
      </c>
      <c r="H95" s="912" t="s">
        <v>1211</v>
      </c>
      <c r="I95" s="930" t="s">
        <v>1344</v>
      </c>
    </row>
    <row r="96" spans="1:11" s="912" customFormat="1" ht="17">
      <c r="A96" s="922"/>
      <c r="B96" s="956"/>
      <c r="C96" s="912" t="s">
        <v>1345</v>
      </c>
      <c r="D96" s="927">
        <f>1.21*0.01+D112</f>
        <v>1.2422649188554012E-2</v>
      </c>
      <c r="E96" s="912" t="s">
        <v>1172</v>
      </c>
      <c r="F96" s="930" t="s">
        <v>1194</v>
      </c>
      <c r="G96" s="947" t="s">
        <v>1195</v>
      </c>
      <c r="H96" s="912" t="s">
        <v>1211</v>
      </c>
      <c r="I96" s="930" t="s">
        <v>1346</v>
      </c>
    </row>
    <row r="97" spans="1:9" s="912" customFormat="1" ht="17">
      <c r="A97" s="922"/>
      <c r="B97" s="956"/>
      <c r="C97" s="912" t="s">
        <v>1347</v>
      </c>
      <c r="D97" s="927">
        <f>2.14/1.05</f>
        <v>2.038095238095238</v>
      </c>
      <c r="E97" s="912" t="s">
        <v>1172</v>
      </c>
      <c r="F97" s="930" t="s">
        <v>1194</v>
      </c>
      <c r="G97" s="912" t="s">
        <v>1240</v>
      </c>
      <c r="H97" s="912" t="s">
        <v>1211</v>
      </c>
      <c r="I97" s="930" t="s">
        <v>1348</v>
      </c>
    </row>
    <row r="98" spans="1:9" s="912" customFormat="1" ht="17">
      <c r="A98" s="922"/>
      <c r="B98" s="956"/>
      <c r="C98" s="912" t="s">
        <v>1349</v>
      </c>
      <c r="D98" s="927">
        <f>1.64/0.75</f>
        <v>2.1866666666666665</v>
      </c>
      <c r="E98" s="912" t="s">
        <v>1172</v>
      </c>
      <c r="F98" s="930" t="s">
        <v>1194</v>
      </c>
      <c r="G98" s="912" t="s">
        <v>1350</v>
      </c>
      <c r="H98" s="912" t="s">
        <v>1211</v>
      </c>
      <c r="I98" s="930" t="s">
        <v>1351</v>
      </c>
    </row>
    <row r="99" spans="1:9" s="912" customFormat="1" ht="17">
      <c r="A99" s="922"/>
      <c r="B99" s="956"/>
      <c r="C99" s="912" t="s">
        <v>1352</v>
      </c>
      <c r="D99" s="927">
        <f>'EF-background info'!D98</f>
        <v>20.029204</v>
      </c>
      <c r="E99" s="912" t="s">
        <v>1208</v>
      </c>
      <c r="F99" s="930" t="s">
        <v>1228</v>
      </c>
      <c r="G99" s="912" t="s">
        <v>1243</v>
      </c>
      <c r="H99" s="912" t="s">
        <v>1211</v>
      </c>
      <c r="I99" s="930" t="s">
        <v>1353</v>
      </c>
    </row>
    <row r="100" spans="1:9" s="912" customFormat="1" ht="17">
      <c r="A100" s="922"/>
      <c r="B100" s="956"/>
      <c r="C100" s="912" t="s">
        <v>1354</v>
      </c>
      <c r="D100" s="927">
        <f>'EF-background info'!D99</f>
        <v>7.4792039999999975</v>
      </c>
      <c r="E100" s="912" t="s">
        <v>1208</v>
      </c>
      <c r="F100" s="930" t="s">
        <v>1228</v>
      </c>
      <c r="G100" s="912" t="s">
        <v>1243</v>
      </c>
      <c r="H100" s="912" t="s">
        <v>1211</v>
      </c>
      <c r="I100" s="930" t="s">
        <v>1355</v>
      </c>
    </row>
    <row r="101" spans="1:9" s="912" customFormat="1" ht="17">
      <c r="A101" s="922"/>
      <c r="B101" s="956"/>
      <c r="C101" s="912" t="s">
        <v>1356</v>
      </c>
      <c r="D101" s="927">
        <f>'EF-background info'!D100</f>
        <v>3.006704</v>
      </c>
      <c r="E101" s="912" t="s">
        <v>1208</v>
      </c>
      <c r="F101" s="930" t="s">
        <v>1228</v>
      </c>
      <c r="G101" s="912" t="s">
        <v>1243</v>
      </c>
      <c r="H101" s="912" t="s">
        <v>1211</v>
      </c>
      <c r="I101" s="930" t="s">
        <v>1357</v>
      </c>
    </row>
    <row r="102" spans="1:9" s="912" customFormat="1" ht="17">
      <c r="A102" s="922"/>
      <c r="B102" s="956"/>
      <c r="C102" s="912" t="s">
        <v>1358</v>
      </c>
      <c r="D102" s="927">
        <f>'EF-background info'!D101</f>
        <v>1.6885691175105002</v>
      </c>
      <c r="E102" s="912" t="s">
        <v>1208</v>
      </c>
      <c r="F102" s="930" t="s">
        <v>1228</v>
      </c>
      <c r="G102" s="912" t="s">
        <v>1243</v>
      </c>
      <c r="H102" s="912" t="s">
        <v>1211</v>
      </c>
      <c r="I102" s="930" t="s">
        <v>1359</v>
      </c>
    </row>
    <row r="103" spans="1:9" s="912" customFormat="1" ht="17">
      <c r="A103" s="922"/>
      <c r="B103" s="956"/>
      <c r="C103" s="912" t="s">
        <v>1360</v>
      </c>
      <c r="D103" s="927">
        <f>'EF-background info'!D102</f>
        <v>0.80920737180393776</v>
      </c>
      <c r="E103" s="912" t="s">
        <v>1208</v>
      </c>
      <c r="F103" s="930" t="s">
        <v>1228</v>
      </c>
      <c r="G103" s="912" t="s">
        <v>1243</v>
      </c>
      <c r="H103" s="912" t="s">
        <v>1211</v>
      </c>
      <c r="I103" s="930" t="s">
        <v>1361</v>
      </c>
    </row>
    <row r="104" spans="1:9" s="912" customFormat="1" ht="17">
      <c r="A104" s="922"/>
      <c r="B104" s="956"/>
      <c r="C104" s="912" t="s">
        <v>1362</v>
      </c>
      <c r="D104" s="927">
        <v>0.2</v>
      </c>
      <c r="E104" s="912" t="s">
        <v>1363</v>
      </c>
      <c r="F104" s="930" t="s">
        <v>1264</v>
      </c>
      <c r="G104" s="912" t="s">
        <v>25</v>
      </c>
      <c r="H104" s="912" t="s">
        <v>1211</v>
      </c>
      <c r="I104" s="930" t="s">
        <v>1364</v>
      </c>
    </row>
    <row r="105" spans="1:9" s="912" customFormat="1" ht="16">
      <c r="A105" s="922"/>
      <c r="D105" s="927"/>
      <c r="F105" s="930"/>
      <c r="I105" s="930"/>
    </row>
    <row r="106" spans="1:9" s="915" customFormat="1" ht="19">
      <c r="A106" s="1056"/>
      <c r="B106" s="911" t="s">
        <v>521</v>
      </c>
      <c r="C106" s="911"/>
      <c r="D106" s="911"/>
      <c r="E106" s="911"/>
      <c r="F106" s="911"/>
      <c r="G106" s="911"/>
      <c r="H106" s="911"/>
      <c r="I106" s="911"/>
    </row>
    <row r="107" spans="1:9" ht="17">
      <c r="A107" s="922"/>
      <c r="B107" s="953"/>
      <c r="C107" s="948" t="s">
        <v>1365</v>
      </c>
      <c r="D107" s="927">
        <f>'EF-background info'!D10</f>
        <v>5.6126399940970497</v>
      </c>
      <c r="E107" s="912" t="s">
        <v>1178</v>
      </c>
      <c r="F107" s="929" t="s">
        <v>1306</v>
      </c>
      <c r="G107" s="929" t="s">
        <v>1195</v>
      </c>
      <c r="H107" s="912" t="s">
        <v>1196</v>
      </c>
      <c r="I107" s="929"/>
    </row>
    <row r="108" spans="1:9" ht="17">
      <c r="A108" s="922"/>
      <c r="B108" s="953"/>
      <c r="C108" s="948" t="s">
        <v>1366</v>
      </c>
      <c r="D108" s="927">
        <v>23.9795291896286</v>
      </c>
      <c r="E108" s="912" t="s">
        <v>1178</v>
      </c>
      <c r="F108" s="929" t="s">
        <v>1194</v>
      </c>
      <c r="G108" s="929" t="s">
        <v>1195</v>
      </c>
      <c r="H108" s="912" t="s">
        <v>1196</v>
      </c>
      <c r="I108" s="929"/>
    </row>
    <row r="109" spans="1:9" ht="17">
      <c r="A109" s="922"/>
      <c r="B109" s="953"/>
      <c r="C109" s="948" t="s">
        <v>1367</v>
      </c>
      <c r="D109" s="927">
        <v>0.99706664902147779</v>
      </c>
      <c r="E109" s="912" t="s">
        <v>1178</v>
      </c>
      <c r="F109" s="929" t="s">
        <v>1194</v>
      </c>
      <c r="G109" s="929" t="s">
        <v>1195</v>
      </c>
      <c r="H109" s="912" t="s">
        <v>1196</v>
      </c>
      <c r="I109" s="930"/>
    </row>
    <row r="110" spans="1:9" ht="16">
      <c r="A110" s="922"/>
      <c r="B110" s="954"/>
      <c r="C110" s="948"/>
      <c r="D110" s="927"/>
      <c r="E110" s="912"/>
      <c r="F110" s="929"/>
      <c r="G110" s="929"/>
      <c r="H110" s="912"/>
      <c r="I110" s="930"/>
    </row>
    <row r="111" spans="1:9" s="915" customFormat="1" ht="19">
      <c r="A111" s="1056"/>
      <c r="B111" s="907" t="s">
        <v>392</v>
      </c>
      <c r="C111" s="907"/>
      <c r="D111" s="907"/>
      <c r="E111" s="907"/>
      <c r="F111" s="907"/>
      <c r="G111" s="907"/>
      <c r="H111" s="907"/>
      <c r="I111" s="907"/>
    </row>
    <row r="112" spans="1:9" s="912" customFormat="1" ht="17">
      <c r="A112" s="922"/>
      <c r="B112" s="908"/>
      <c r="C112" s="926" t="s">
        <v>1368</v>
      </c>
      <c r="D112" s="949">
        <v>3.22649188554013E-4</v>
      </c>
      <c r="E112" s="912" t="s">
        <v>1172</v>
      </c>
      <c r="F112" s="929" t="s">
        <v>1194</v>
      </c>
      <c r="G112" s="930" t="s">
        <v>1195</v>
      </c>
      <c r="H112" s="912" t="s">
        <v>1196</v>
      </c>
      <c r="I112" s="930"/>
    </row>
    <row r="113" spans="1:9" s="912" customFormat="1" ht="51">
      <c r="A113" s="922"/>
      <c r="B113" s="908"/>
      <c r="C113" s="926" t="s">
        <v>1369</v>
      </c>
      <c r="D113" s="950">
        <v>0</v>
      </c>
      <c r="E113" s="912" t="s">
        <v>1172</v>
      </c>
      <c r="F113" s="930" t="s">
        <v>1370</v>
      </c>
      <c r="G113" s="930"/>
      <c r="H113" s="912" t="s">
        <v>1196</v>
      </c>
      <c r="I113" s="930"/>
    </row>
    <row r="114" spans="1:9" s="912" customFormat="1" ht="51">
      <c r="A114" s="922"/>
      <c r="B114" s="908"/>
      <c r="C114" s="926" t="s">
        <v>1371</v>
      </c>
      <c r="D114" s="950">
        <v>0</v>
      </c>
      <c r="E114" s="912" t="s">
        <v>1172</v>
      </c>
      <c r="F114" s="930" t="s">
        <v>1372</v>
      </c>
      <c r="G114" s="930"/>
      <c r="H114" s="912" t="s">
        <v>1196</v>
      </c>
      <c r="I114" s="930"/>
    </row>
    <row r="115" spans="1:9" s="912" customFormat="1" ht="17">
      <c r="A115" s="922"/>
      <c r="B115" s="908"/>
      <c r="C115" s="926" t="s">
        <v>1373</v>
      </c>
      <c r="D115" s="951">
        <v>3.7985017414302199E-4</v>
      </c>
      <c r="E115" s="912" t="s">
        <v>1172</v>
      </c>
      <c r="F115" s="929" t="s">
        <v>1194</v>
      </c>
      <c r="G115" s="930" t="s">
        <v>1195</v>
      </c>
      <c r="H115" s="912" t="s">
        <v>1196</v>
      </c>
      <c r="I115" s="952"/>
    </row>
    <row r="116" spans="1:9" s="912" customFormat="1" ht="16">
      <c r="A116" s="922"/>
      <c r="B116" s="955"/>
      <c r="C116" s="926"/>
      <c r="D116" s="951"/>
      <c r="F116" s="929"/>
      <c r="G116" s="930"/>
      <c r="I116" s="952"/>
    </row>
    <row r="117" spans="1:9" s="971" customFormat="1" ht="18" customHeight="1">
      <c r="A117" s="1058"/>
      <c r="B117" s="1207" t="s">
        <v>1612</v>
      </c>
      <c r="C117" s="138"/>
      <c r="D117" s="138"/>
      <c r="E117" s="138"/>
      <c r="F117" s="138"/>
      <c r="G117" s="138"/>
      <c r="H117" s="138"/>
      <c r="I117" s="138"/>
    </row>
    <row r="118" spans="1:9" ht="24">
      <c r="B118" s="138"/>
      <c r="C118" s="938" t="s">
        <v>546</v>
      </c>
      <c r="D118" s="967">
        <f>'EF-background info'!J180</f>
        <v>4.0448096660530648E-6</v>
      </c>
      <c r="E118" s="938" t="s">
        <v>1377</v>
      </c>
      <c r="F118" s="1209" t="s">
        <v>1913</v>
      </c>
      <c r="G118" s="969"/>
      <c r="H118" s="938" t="s">
        <v>1211</v>
      </c>
      <c r="I118" s="968"/>
    </row>
    <row r="119" spans="1:9" ht="24">
      <c r="B119" s="138"/>
      <c r="C119" s="1208" t="s">
        <v>549</v>
      </c>
      <c r="D119" s="967">
        <f>'EF-background info'!J181</f>
        <v>8.08961933210613E-5</v>
      </c>
      <c r="E119" s="970" t="s">
        <v>1378</v>
      </c>
      <c r="F119" s="1209" t="s">
        <v>1913</v>
      </c>
      <c r="G119" s="938"/>
      <c r="H119" s="938" t="s">
        <v>1211</v>
      </c>
      <c r="I119" s="968"/>
    </row>
    <row r="120" spans="1:9" ht="24">
      <c r="B120" s="138"/>
      <c r="C120" s="938" t="s">
        <v>552</v>
      </c>
      <c r="D120" s="967">
        <f>'EF-background info'!J182</f>
        <v>1.1145697746457335E-4</v>
      </c>
      <c r="E120" s="970" t="s">
        <v>1379</v>
      </c>
      <c r="F120" s="1209" t="s">
        <v>1913</v>
      </c>
      <c r="G120" s="938"/>
      <c r="H120" s="938" t="s">
        <v>1211</v>
      </c>
      <c r="I120" s="968"/>
    </row>
    <row r="121" spans="1:9" ht="24">
      <c r="B121" s="138"/>
      <c r="C121" s="938" t="s">
        <v>555</v>
      </c>
      <c r="D121" s="967">
        <f>'EF-background info'!J183</f>
        <v>2.6965397773687099E-2</v>
      </c>
      <c r="E121" s="970" t="str">
        <f>'EF-background info'!E167</f>
        <v>kg CO2-eq / GB</v>
      </c>
      <c r="F121" s="1209" t="s">
        <v>1913</v>
      </c>
      <c r="G121" s="938"/>
      <c r="H121" s="938" t="s">
        <v>1211</v>
      </c>
      <c r="I121" s="968"/>
    </row>
  </sheetData>
  <hyperlinks>
    <hyperlink ref="F64" location="'Variable emissions'!A1" display="Dependent on year" xr:uid="{EBEBE2A4-6513-4C80-885D-6845A187B113}"/>
    <hyperlink ref="F68" location="'Variable emissions'!A1" display="Dependent on year" xr:uid="{82261104-3CCB-4981-A0AC-8A57CA5AD75E}"/>
    <hyperlink ref="F70" location="'Variable emissions'!A1" display="Dependent on year" xr:uid="{7F95B8BC-8612-407F-93B2-1FF7BCD47ABE}"/>
    <hyperlink ref="F72" location="'Variable emissions'!A1" display="Dependent on year" xr:uid="{BEA64FFA-516F-4857-B2FB-A8AEAC3EF6DB}"/>
  </hyperlinks>
  <pageMargins left="1" right="1"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84655-CC97-4A52-A1DB-FFCC0C3B5D09}">
  <sheetPr codeName="Sheet7"/>
  <dimension ref="A1"/>
  <sheetViews>
    <sheetView workbookViewId="0"/>
  </sheetViews>
  <sheetFormatPr baseColWidth="10" defaultColWidth="8.83203125" defaultRowHeight="16"/>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85AB4-3C36-462B-B1DB-4147138CBFF6}">
  <sheetPr codeName="Sheet8"/>
  <dimension ref="C1:I375"/>
  <sheetViews>
    <sheetView workbookViewId="0"/>
  </sheetViews>
  <sheetFormatPr baseColWidth="10" defaultColWidth="9" defaultRowHeight="15"/>
  <cols>
    <col min="1" max="2" width="9" style="707"/>
    <col min="3" max="3" width="113.6640625" style="707" customWidth="1"/>
    <col min="4" max="4" width="9" style="707"/>
    <col min="5" max="5" width="10.6640625" style="707" customWidth="1"/>
    <col min="6" max="6" width="43.6640625" style="707" customWidth="1"/>
    <col min="7" max="7" width="11.33203125" style="707" customWidth="1"/>
    <col min="8" max="8" width="9" style="707"/>
    <col min="9" max="9" width="15.83203125" style="707" bestFit="1" customWidth="1"/>
    <col min="10" max="16384" width="9" style="707"/>
  </cols>
  <sheetData>
    <row r="1" spans="3:9" ht="15.75" customHeight="1">
      <c r="C1" s="706"/>
      <c r="I1" s="706"/>
    </row>
    <row r="2" spans="3:9" ht="16.5" customHeight="1" thickBot="1">
      <c r="C2" s="706"/>
      <c r="I2" s="706"/>
    </row>
    <row r="3" spans="3:9" ht="21" customHeight="1">
      <c r="C3" s="708" t="s">
        <v>1</v>
      </c>
      <c r="I3" s="708" t="s">
        <v>3</v>
      </c>
    </row>
    <row r="4" spans="3:9" ht="16.5" customHeight="1" thickBot="1">
      <c r="C4" s="709"/>
      <c r="I4" s="710"/>
    </row>
    <row r="5" spans="3:9">
      <c r="C5" s="711"/>
    </row>
    <row r="6" spans="3:9" ht="15.75" customHeight="1">
      <c r="C6" s="712" t="s">
        <v>8</v>
      </c>
    </row>
    <row r="7" spans="3:9" ht="15.75" customHeight="1">
      <c r="C7" s="712" t="s">
        <v>9</v>
      </c>
    </row>
    <row r="8" spans="3:9" ht="31.5" customHeight="1">
      <c r="C8" s="713" t="s">
        <v>10</v>
      </c>
    </row>
    <row r="9" spans="3:9" ht="48.75" customHeight="1" thickBot="1">
      <c r="C9" s="714" t="s">
        <v>11</v>
      </c>
      <c r="I9" s="715"/>
    </row>
    <row r="10" spans="3:9" ht="17.25" customHeight="1">
      <c r="C10" s="716" t="s">
        <v>12</v>
      </c>
      <c r="I10" s="717" t="s">
        <v>13</v>
      </c>
    </row>
    <row r="11" spans="3:9" ht="15.75" customHeight="1">
      <c r="C11" s="713" t="s">
        <v>15</v>
      </c>
      <c r="I11" s="718"/>
    </row>
    <row r="12" spans="3:9" ht="16.5" customHeight="1" thickBot="1">
      <c r="C12" s="716" t="s">
        <v>17</v>
      </c>
      <c r="I12" s="719"/>
    </row>
    <row r="13" spans="3:9" ht="15.75" customHeight="1">
      <c r="C13" s="716" t="s">
        <v>19</v>
      </c>
      <c r="I13" s="720"/>
    </row>
    <row r="14" spans="3:9" ht="15.75" customHeight="1">
      <c r="C14" s="716" t="s">
        <v>20</v>
      </c>
      <c r="I14" s="720"/>
    </row>
    <row r="15" spans="3:9" ht="19.5" customHeight="1" thickBot="1">
      <c r="C15" s="721" t="s">
        <v>561</v>
      </c>
      <c r="I15" s="720"/>
    </row>
    <row r="16" spans="3:9" ht="15.75" customHeight="1" thickBot="1"/>
    <row r="17" spans="3:9" ht="23.25" customHeight="1">
      <c r="C17" s="722" t="s">
        <v>562</v>
      </c>
      <c r="D17" s="707" t="s">
        <v>563</v>
      </c>
      <c r="F17" s="707" t="s">
        <v>564</v>
      </c>
      <c r="G17" s="707" t="s">
        <v>565</v>
      </c>
      <c r="H17" s="707" t="s">
        <v>566</v>
      </c>
      <c r="I17" s="723"/>
    </row>
    <row r="18" spans="3:9" ht="15.75" customHeight="1">
      <c r="C18" s="724" t="s">
        <v>23</v>
      </c>
      <c r="D18" s="707">
        <f t="shared" ref="D18:D55" si="0">COUNTIFS(C:C,C18)</f>
        <v>1</v>
      </c>
      <c r="F18" s="707" t="str">
        <f t="array" ref="F18">IFERROR(_xlfn.IFS(D18=0,"",D18=1,C18,TRUE,E18),"")</f>
        <v>Festival name</v>
      </c>
      <c r="G18" s="707" t="s">
        <v>567</v>
      </c>
      <c r="H18" s="707">
        <f>ROW(C18)</f>
        <v>18</v>
      </c>
      <c r="I18" s="725" t="s">
        <v>24</v>
      </c>
    </row>
    <row r="19" spans="3:9" ht="15.75" customHeight="1">
      <c r="C19" s="726" t="s">
        <v>26</v>
      </c>
      <c r="D19" s="707">
        <f t="shared" si="0"/>
        <v>1</v>
      </c>
      <c r="F19" s="707" t="str">
        <f t="array" ref="F19">IFERROR(_xlfn.IFS(D19=0,"",D19=1,C19,TRUE,E19),"")</f>
        <v>Start date</v>
      </c>
      <c r="G19" s="707" t="s">
        <v>567</v>
      </c>
      <c r="H19" s="707">
        <f t="shared" ref="H19:H47" si="1">ROW(C19)-1</f>
        <v>18</v>
      </c>
      <c r="I19" s="727" t="s">
        <v>27</v>
      </c>
    </row>
    <row r="20" spans="3:9" ht="15.75" customHeight="1">
      <c r="C20" s="726" t="s">
        <v>28</v>
      </c>
      <c r="D20" s="707">
        <f t="shared" si="0"/>
        <v>1</v>
      </c>
      <c r="F20" s="707" t="str">
        <f t="array" ref="F20">IFERROR(_xlfn.IFS(D20=0,"",D20=1,C20,TRUE,E20),"")</f>
        <v>Number of days</v>
      </c>
      <c r="G20" s="707" t="s">
        <v>568</v>
      </c>
      <c r="H20" s="707">
        <f t="shared" si="1"/>
        <v>19</v>
      </c>
      <c r="I20" s="727" t="s">
        <v>29</v>
      </c>
    </row>
    <row r="21" spans="3:9" ht="15.75" customHeight="1">
      <c r="C21" s="726" t="s">
        <v>31</v>
      </c>
      <c r="D21" s="707">
        <f t="shared" si="0"/>
        <v>1</v>
      </c>
      <c r="F21" s="707" t="str">
        <f t="array" ref="F21">IFERROR(_xlfn.IFS(D21=0,"",D21=1,C21,TRUE,E21),"")</f>
        <v>Location: city/municipality</v>
      </c>
      <c r="G21" s="707" t="s">
        <v>569</v>
      </c>
      <c r="H21" s="707">
        <f t="shared" si="1"/>
        <v>20</v>
      </c>
      <c r="I21" s="727" t="s">
        <v>24</v>
      </c>
    </row>
    <row r="22" spans="3:9" ht="15.75" customHeight="1">
      <c r="C22" s="726" t="s">
        <v>33</v>
      </c>
      <c r="D22" s="707">
        <f t="shared" si="0"/>
        <v>1</v>
      </c>
      <c r="F22" s="707" t="str">
        <f t="array" ref="F22">IFERROR(_xlfn.IFS(D22=0,"",D22=1,C22,TRUE,E22),"")</f>
        <v>Location: Country</v>
      </c>
      <c r="G22" s="707" t="s">
        <v>569</v>
      </c>
      <c r="H22" s="707">
        <f t="shared" si="1"/>
        <v>21</v>
      </c>
      <c r="I22" s="727" t="s">
        <v>35</v>
      </c>
    </row>
    <row r="23" spans="3:9" ht="15.75" customHeight="1">
      <c r="C23" s="726" t="s">
        <v>37</v>
      </c>
      <c r="D23" s="707">
        <f t="shared" si="0"/>
        <v>1</v>
      </c>
      <c r="F23" s="707" t="str">
        <f t="array" ref="F23">IFERROR(_xlfn.IFS(D23=0,"",D23=1,C23,TRUE,E23),"")</f>
        <v>Type of festival: Open or Enclosed</v>
      </c>
      <c r="G23" s="707" t="s">
        <v>569</v>
      </c>
      <c r="H23" s="707">
        <f t="shared" si="1"/>
        <v>22</v>
      </c>
      <c r="I23" s="727" t="s">
        <v>38</v>
      </c>
    </row>
    <row r="24" spans="3:9" ht="15.75" customHeight="1">
      <c r="C24" s="726" t="s">
        <v>39</v>
      </c>
      <c r="D24" s="707">
        <f t="shared" si="0"/>
        <v>1</v>
      </c>
      <c r="F24" s="707" t="str">
        <f t="array" ref="F24">IFERROR(_xlfn.IFS(D24=0,"",D24=1,C24,TRUE,E24),"")</f>
        <v>Type of festival: Urban or Rural</v>
      </c>
      <c r="G24" s="707" t="s">
        <v>569</v>
      </c>
      <c r="H24" s="707">
        <f t="shared" si="1"/>
        <v>23</v>
      </c>
      <c r="I24" s="727" t="s">
        <v>38</v>
      </c>
    </row>
    <row r="25" spans="3:9" ht="15.75" customHeight="1">
      <c r="C25" s="726" t="s">
        <v>41</v>
      </c>
      <c r="D25" s="707">
        <f t="shared" si="0"/>
        <v>1</v>
      </c>
      <c r="F25" s="707" t="str">
        <f t="array" ref="F25">IFERROR(_xlfn.IFS(D25=0,"",D25=1,C25,TRUE,E25),"")</f>
        <v>Type of festival: Indoor or Outdoor</v>
      </c>
      <c r="G25" s="707" t="s">
        <v>569</v>
      </c>
      <c r="H25" s="707">
        <f t="shared" si="1"/>
        <v>24</v>
      </c>
      <c r="I25" s="727" t="s">
        <v>38</v>
      </c>
    </row>
    <row r="26" spans="3:9" ht="15.75" customHeight="1">
      <c r="C26" s="726" t="s">
        <v>42</v>
      </c>
      <c r="D26" s="707">
        <f t="shared" si="0"/>
        <v>1</v>
      </c>
      <c r="F26" s="707" t="str">
        <f t="array" ref="F26">IFERROR(_xlfn.IFS(D26=0,"",D26=1,C26,TRUE,E26),"")</f>
        <v>Type of festival: Own festival campsite or not</v>
      </c>
      <c r="G26" s="707" t="s">
        <v>569</v>
      </c>
      <c r="H26" s="707">
        <f t="shared" si="1"/>
        <v>25</v>
      </c>
      <c r="I26" s="727" t="s">
        <v>38</v>
      </c>
    </row>
    <row r="27" spans="3:9" ht="15.75" customHeight="1">
      <c r="C27" s="726" t="s">
        <v>43</v>
      </c>
      <c r="D27" s="707">
        <f t="shared" si="0"/>
        <v>1</v>
      </c>
      <c r="F27" s="707" t="str">
        <f t="array" ref="F27">IFERROR(_xlfn.IFS(D27=0,"",D27=1,C27,TRUE,E27),"")</f>
        <v>Weather type</v>
      </c>
      <c r="G27" s="707" t="s">
        <v>569</v>
      </c>
      <c r="H27" s="707">
        <f t="shared" si="1"/>
        <v>26</v>
      </c>
      <c r="I27" s="727" t="s">
        <v>38</v>
      </c>
    </row>
    <row r="28" spans="3:9" ht="15.75" customHeight="1">
      <c r="C28" s="728" t="s">
        <v>44</v>
      </c>
      <c r="D28" s="707">
        <f t="shared" si="0"/>
        <v>1</v>
      </c>
      <c r="F28" s="707" t="str">
        <f t="array" ref="F28">IFERROR(_xlfn.IFS(D28=0,"",D28=1,C28,TRUE,E28),"")</f>
        <v>Temperature</v>
      </c>
      <c r="G28" s="707" t="s">
        <v>569</v>
      </c>
      <c r="H28" s="707">
        <f t="shared" si="1"/>
        <v>27</v>
      </c>
      <c r="I28" s="729" t="s">
        <v>45</v>
      </c>
    </row>
    <row r="29" spans="3:9" ht="20.25" customHeight="1">
      <c r="C29" s="730"/>
      <c r="D29" s="707">
        <f t="shared" si="0"/>
        <v>0</v>
      </c>
      <c r="F29" s="707" t="str">
        <f t="array" ref="F29">IFERROR(_xlfn.IFS(D29=0,"",D29=1,C29,TRUE,E29),"")</f>
        <v/>
      </c>
      <c r="H29" s="707">
        <f t="shared" si="1"/>
        <v>28</v>
      </c>
      <c r="I29" s="731"/>
    </row>
    <row r="30" spans="3:9" ht="15.75" customHeight="1">
      <c r="C30" s="732" t="s">
        <v>48</v>
      </c>
      <c r="D30" s="707">
        <f t="shared" si="0"/>
        <v>1</v>
      </c>
      <c r="F30" s="707" t="str">
        <f t="array" ref="F30">IFERROR(_xlfn.IFS(D30=0,"",D30=1,C30,TRUE,E30),"")</f>
        <v>1-day visitors</v>
      </c>
      <c r="G30" s="707" t="s">
        <v>568</v>
      </c>
      <c r="H30" s="707">
        <f t="shared" si="1"/>
        <v>29</v>
      </c>
      <c r="I30" s="733" t="s">
        <v>29</v>
      </c>
    </row>
    <row r="31" spans="3:9" ht="15.75" customHeight="1">
      <c r="C31" s="732" t="s">
        <v>49</v>
      </c>
      <c r="D31" s="707">
        <f t="shared" si="0"/>
        <v>1</v>
      </c>
      <c r="F31" s="707" t="str">
        <f t="array" ref="F31">IFERROR(_xlfn.IFS(D31=0,"",D31=1,C31,TRUE,E31),"")</f>
        <v>2-day visitors</v>
      </c>
      <c r="G31" s="707" t="s">
        <v>568</v>
      </c>
      <c r="H31" s="707">
        <f t="shared" si="1"/>
        <v>30</v>
      </c>
      <c r="I31" s="727" t="s">
        <v>29</v>
      </c>
    </row>
    <row r="32" spans="3:9" ht="15.75" customHeight="1">
      <c r="C32" s="732" t="s">
        <v>51</v>
      </c>
      <c r="D32" s="707">
        <f t="shared" si="0"/>
        <v>1</v>
      </c>
      <c r="F32" s="707" t="str">
        <f t="array" ref="F32">IFERROR(_xlfn.IFS(D32=0,"",D32=1,C32,TRUE,E32),"")</f>
        <v>3-day visitors</v>
      </c>
      <c r="G32" s="707" t="s">
        <v>568</v>
      </c>
      <c r="H32" s="707">
        <f t="shared" si="1"/>
        <v>31</v>
      </c>
      <c r="I32" s="727" t="s">
        <v>29</v>
      </c>
    </row>
    <row r="33" spans="3:9" ht="15.75" customHeight="1">
      <c r="C33" s="732" t="s">
        <v>53</v>
      </c>
      <c r="D33" s="707">
        <f t="shared" si="0"/>
        <v>1</v>
      </c>
      <c r="F33" s="707" t="str">
        <f t="array" ref="F33">IFERROR(_xlfn.IFS(D33=0,"",D33=1,C33,TRUE,E33),"")</f>
        <v>4-day visitors</v>
      </c>
      <c r="G33" s="707" t="s">
        <v>568</v>
      </c>
      <c r="H33" s="707">
        <f t="shared" si="1"/>
        <v>32</v>
      </c>
      <c r="I33" s="727" t="s">
        <v>29</v>
      </c>
    </row>
    <row r="34" spans="3:9" ht="15.75" customHeight="1">
      <c r="C34" s="732" t="s">
        <v>55</v>
      </c>
      <c r="D34" s="707">
        <f t="shared" si="0"/>
        <v>1</v>
      </c>
      <c r="F34" s="707" t="str">
        <f t="array" ref="F34">IFERROR(_xlfn.IFS(D34=0,"",D34=1,C34,TRUE,E34),"")</f>
        <v>5-day visitors</v>
      </c>
      <c r="G34" s="707" t="s">
        <v>568</v>
      </c>
      <c r="H34" s="707">
        <f t="shared" si="1"/>
        <v>33</v>
      </c>
      <c r="I34" s="727" t="s">
        <v>29</v>
      </c>
    </row>
    <row r="35" spans="3:9" ht="15.75" customHeight="1">
      <c r="C35" s="732" t="s">
        <v>57</v>
      </c>
      <c r="D35" s="707">
        <f t="shared" si="0"/>
        <v>1</v>
      </c>
      <c r="F35" s="707" t="str">
        <f t="array" ref="F35">IFERROR(_xlfn.IFS(D35=0,"",D35=1,C35,TRUE,E35),"")</f>
        <v>6-day visitors</v>
      </c>
      <c r="G35" s="707" t="s">
        <v>568</v>
      </c>
      <c r="H35" s="707">
        <f t="shared" si="1"/>
        <v>34</v>
      </c>
      <c r="I35" s="727" t="s">
        <v>29</v>
      </c>
    </row>
    <row r="36" spans="3:9" ht="15.75" customHeight="1">
      <c r="C36" s="732" t="s">
        <v>59</v>
      </c>
      <c r="D36" s="707">
        <f t="shared" si="0"/>
        <v>1</v>
      </c>
      <c r="F36" s="707" t="str">
        <f t="array" ref="F36">IFERROR(_xlfn.IFS(D36=0,"",D36=1,C36,TRUE,E36),"")</f>
        <v>7-day visitors</v>
      </c>
      <c r="G36" s="707" t="s">
        <v>568</v>
      </c>
      <c r="H36" s="707">
        <f t="shared" si="1"/>
        <v>35</v>
      </c>
      <c r="I36" s="727" t="s">
        <v>29</v>
      </c>
    </row>
    <row r="37" spans="3:9" ht="15.75" customHeight="1">
      <c r="C37" s="732" t="s">
        <v>61</v>
      </c>
      <c r="D37" s="707">
        <f t="shared" si="0"/>
        <v>1</v>
      </c>
      <c r="F37" s="707" t="str">
        <f t="array" ref="F37">IFERROR(_xlfn.IFS(D37=0,"",D37=1,C37,TRUE,E37),"")</f>
        <v>8-day visitors</v>
      </c>
      <c r="G37" s="707" t="s">
        <v>568</v>
      </c>
      <c r="H37" s="707">
        <f t="shared" si="1"/>
        <v>36</v>
      </c>
      <c r="I37" s="727" t="s">
        <v>29</v>
      </c>
    </row>
    <row r="38" spans="3:9" ht="15.75" customHeight="1">
      <c r="C38" s="732" t="s">
        <v>63</v>
      </c>
      <c r="D38" s="707">
        <f t="shared" si="0"/>
        <v>1</v>
      </c>
      <c r="F38" s="707" t="str">
        <f t="array" ref="F38">IFERROR(_xlfn.IFS(D38=0,"",D38=1,C38,TRUE,E38),"")</f>
        <v>9-day visitors</v>
      </c>
      <c r="G38" s="707" t="s">
        <v>568</v>
      </c>
      <c r="H38" s="707">
        <f t="shared" si="1"/>
        <v>37</v>
      </c>
      <c r="I38" s="727" t="s">
        <v>29</v>
      </c>
    </row>
    <row r="39" spans="3:9" ht="15.75" customHeight="1">
      <c r="C39" s="732" t="s">
        <v>65</v>
      </c>
      <c r="D39" s="707">
        <f t="shared" si="0"/>
        <v>1</v>
      </c>
      <c r="F39" s="707" t="str">
        <f t="array" ref="F39">IFERROR(_xlfn.IFS(D39=0,"",D39=1,C39,TRUE,E39),"")</f>
        <v>10-day visitors</v>
      </c>
      <c r="G39" s="707" t="s">
        <v>568</v>
      </c>
      <c r="H39" s="707">
        <f t="shared" si="1"/>
        <v>38</v>
      </c>
      <c r="I39" s="727" t="s">
        <v>29</v>
      </c>
    </row>
    <row r="40" spans="3:9" ht="15.75" customHeight="1">
      <c r="C40" s="728" t="s">
        <v>67</v>
      </c>
      <c r="D40" s="707">
        <f t="shared" si="0"/>
        <v>1</v>
      </c>
      <c r="F40" s="707" t="str">
        <f t="array" ref="F40">IFERROR(_xlfn.IFS(D40=0,"",D40=1,C40,TRUE,E40),"")</f>
        <v>10+ day visitors</v>
      </c>
      <c r="G40" s="707" t="s">
        <v>568</v>
      </c>
      <c r="H40" s="707">
        <f t="shared" si="1"/>
        <v>39</v>
      </c>
      <c r="I40" s="734" t="s">
        <v>29</v>
      </c>
    </row>
    <row r="41" spans="3:9" ht="20.25" customHeight="1">
      <c r="C41" s="730"/>
      <c r="D41" s="707">
        <f t="shared" si="0"/>
        <v>0</v>
      </c>
      <c r="F41" s="707" t="str">
        <f t="array" ref="F41">IFERROR(_xlfn.IFS(D41=0,"",D41=1,C41,TRUE,E41),"")</f>
        <v/>
      </c>
      <c r="H41" s="707">
        <f t="shared" si="1"/>
        <v>40</v>
      </c>
      <c r="I41" s="731"/>
    </row>
    <row r="42" spans="3:9" ht="15.75" customHeight="1">
      <c r="C42" s="732" t="s">
        <v>70</v>
      </c>
      <c r="D42" s="707">
        <f t="shared" si="0"/>
        <v>1</v>
      </c>
      <c r="F42" s="707" t="str">
        <f t="array" ref="F42">IFERROR(_xlfn.IFS(D42=0,"",D42=1,C42,TRUE,E42),"")</f>
        <v>Number of artists</v>
      </c>
      <c r="G42" s="707" t="s">
        <v>568</v>
      </c>
      <c r="H42" s="707">
        <f t="shared" si="1"/>
        <v>41</v>
      </c>
      <c r="I42" s="733" t="s">
        <v>29</v>
      </c>
    </row>
    <row r="43" spans="3:9" ht="15.75" customHeight="1">
      <c r="C43" s="726" t="s">
        <v>72</v>
      </c>
      <c r="D43" s="707">
        <f t="shared" si="0"/>
        <v>1</v>
      </c>
      <c r="F43" s="707" t="str">
        <f t="array" ref="F43">IFERROR(_xlfn.IFS(D43=0,"",D43=1,C43,TRUE,E43),"")</f>
        <v>Number of crew + volunteers</v>
      </c>
      <c r="G43" s="707" t="s">
        <v>568</v>
      </c>
      <c r="H43" s="707">
        <f t="shared" si="1"/>
        <v>42</v>
      </c>
      <c r="I43" s="727" t="s">
        <v>29</v>
      </c>
    </row>
    <row r="44" spans="3:9" ht="15.75" customHeight="1">
      <c r="C44" s="728" t="s">
        <v>74</v>
      </c>
      <c r="D44" s="707">
        <f t="shared" si="0"/>
        <v>1</v>
      </c>
      <c r="F44" s="707" t="str">
        <f t="array" ref="F44">IFERROR(_xlfn.IFS(D44=0,"",D44=1,C44,TRUE,E44),"")</f>
        <v>Number of suppliers + contractors</v>
      </c>
      <c r="G44" s="707" t="s">
        <v>568</v>
      </c>
      <c r="H44" s="707">
        <f t="shared" si="1"/>
        <v>43</v>
      </c>
      <c r="I44" s="734" t="s">
        <v>29</v>
      </c>
    </row>
    <row r="45" spans="3:9" ht="15.75" customHeight="1">
      <c r="C45" s="709"/>
      <c r="D45" s="707">
        <f t="shared" si="0"/>
        <v>0</v>
      </c>
      <c r="F45" s="707" t="str">
        <f t="array" ref="F45">IFERROR(_xlfn.IFS(D45=0,"",D45=1,C45,TRUE,E45),"")</f>
        <v/>
      </c>
      <c r="H45" s="707">
        <f t="shared" si="1"/>
        <v>44</v>
      </c>
      <c r="I45" s="709"/>
    </row>
    <row r="46" spans="3:9" ht="23.25" customHeight="1">
      <c r="C46" s="735"/>
      <c r="D46" s="707">
        <f t="shared" si="0"/>
        <v>0</v>
      </c>
      <c r="F46" s="707" t="str">
        <f t="array" ref="F46">IFERROR(_xlfn.IFS(D46=0,"",D46=1,C46,TRUE,E46),"")</f>
        <v/>
      </c>
      <c r="H46" s="707">
        <f t="shared" si="1"/>
        <v>45</v>
      </c>
      <c r="I46" s="735"/>
    </row>
    <row r="47" spans="3:9" ht="20.25" customHeight="1">
      <c r="C47" s="736"/>
      <c r="D47" s="707">
        <f t="shared" si="0"/>
        <v>0</v>
      </c>
      <c r="F47" s="707" t="str">
        <f t="array" ref="F47">IFERROR(_xlfn.IFS(D47=0,"",D47=1,C47,TRUE,E47),"")</f>
        <v/>
      </c>
      <c r="H47" s="707">
        <f t="shared" si="1"/>
        <v>46</v>
      </c>
      <c r="I47" s="736"/>
    </row>
    <row r="48" spans="3:9" ht="15.75" customHeight="1">
      <c r="C48" s="732" t="s">
        <v>78</v>
      </c>
      <c r="D48" s="707">
        <f t="shared" si="0"/>
        <v>1</v>
      </c>
      <c r="F48" s="707" t="str">
        <f t="array" ref="F48">IFERROR(_xlfn.IFS(D48=0,"",D48=1,C48,TRUE,E48),"")</f>
        <v>Renewable electricity from grid</v>
      </c>
      <c r="G48" s="707" t="s">
        <v>570</v>
      </c>
      <c r="H48" s="707">
        <f>ROW(C48)-1</f>
        <v>47</v>
      </c>
      <c r="I48" s="733" t="s">
        <v>79</v>
      </c>
    </row>
    <row r="49" spans="3:9" ht="15.75" customHeight="1">
      <c r="C49" s="726" t="s">
        <v>81</v>
      </c>
      <c r="D49" s="707">
        <f t="shared" si="0"/>
        <v>1</v>
      </c>
      <c r="F49" s="707" t="str">
        <f t="array" ref="F49">IFERROR(_xlfn.IFS(D49=0,"",D49=1,C49,TRUE,E49),"")</f>
        <v>Non-renewable electricity from grid</v>
      </c>
      <c r="G49" s="707" t="s">
        <v>570</v>
      </c>
      <c r="I49" s="727" t="s">
        <v>79</v>
      </c>
    </row>
    <row r="50" spans="3:9" ht="15.75" customHeight="1">
      <c r="C50" s="726" t="s">
        <v>83</v>
      </c>
      <c r="D50" s="707">
        <f t="shared" si="0"/>
        <v>1</v>
      </c>
      <c r="F50" s="707" t="str">
        <f t="array" ref="F50">IFERROR(_xlfn.IFS(D50=0,"",D50=1,C50,TRUE,E50),"")</f>
        <v>Renewable electricity locally produced</v>
      </c>
      <c r="G50" s="707" t="s">
        <v>570</v>
      </c>
      <c r="I50" s="727" t="s">
        <v>79</v>
      </c>
    </row>
    <row r="51" spans="3:9" ht="15.75" customHeight="1">
      <c r="C51" s="726" t="s">
        <v>85</v>
      </c>
      <c r="D51" s="707">
        <f t="shared" si="0"/>
        <v>1</v>
      </c>
      <c r="F51" s="707" t="str">
        <f t="array" ref="F51">IFERROR(_xlfn.IFS(D51=0,"",D51=1,C51,TRUE,E51),"")</f>
        <v>Renewable electricity from batteries</v>
      </c>
      <c r="G51" s="707" t="s">
        <v>570</v>
      </c>
      <c r="I51" s="727" t="s">
        <v>79</v>
      </c>
    </row>
    <row r="52" spans="3:9" ht="15.75" customHeight="1">
      <c r="C52" s="728" t="s">
        <v>87</v>
      </c>
      <c r="D52" s="707">
        <f t="shared" si="0"/>
        <v>1</v>
      </c>
      <c r="F52" s="707" t="str">
        <f t="array" ref="F52">IFERROR(_xlfn.IFS(D52=0,"",D52=1,C52,TRUE,E52),"")</f>
        <v>Non-renewable electricity from batteries</v>
      </c>
      <c r="G52" s="707" t="s">
        <v>570</v>
      </c>
      <c r="I52" s="734" t="s">
        <v>79</v>
      </c>
    </row>
    <row r="53" spans="3:9" ht="20.25" customHeight="1">
      <c r="C53" s="736"/>
      <c r="D53" s="707">
        <f t="shared" si="0"/>
        <v>0</v>
      </c>
      <c r="F53" s="707" t="str">
        <f t="array" ref="F53">IFERROR(_xlfn.IFS(D53=0,"",D53=1,C53,TRUE,E53),"")</f>
        <v/>
      </c>
      <c r="I53" s="736"/>
    </row>
    <row r="54" spans="3:9" ht="15.75" customHeight="1">
      <c r="C54" s="732" t="s">
        <v>90</v>
      </c>
      <c r="D54" s="707">
        <f t="shared" si="0"/>
        <v>1</v>
      </c>
      <c r="F54" s="707" t="str">
        <f t="array" ref="F54">IFERROR(_xlfn.IFS(D54=0,"",D54=1,C54,TRUE,E54),"")</f>
        <v>Fossil diesel for generators</v>
      </c>
      <c r="G54" s="707" t="s">
        <v>570</v>
      </c>
      <c r="I54" s="733" t="s">
        <v>91</v>
      </c>
    </row>
    <row r="55" spans="3:9" ht="15.75" customHeight="1">
      <c r="C55" s="726" t="s">
        <v>93</v>
      </c>
      <c r="D55" s="707">
        <f t="shared" si="0"/>
        <v>1</v>
      </c>
      <c r="F55" s="707" t="str">
        <f t="array" ref="F55">IFERROR(_xlfn.IFS(D55=0,"",D55=1,C55,TRUE,E55),"")</f>
        <v>Sustainable biofuel (HVO-UCO/Tall B100) for generators</v>
      </c>
      <c r="G55" s="707" t="s">
        <v>570</v>
      </c>
      <c r="I55" s="733" t="s">
        <v>91</v>
      </c>
    </row>
    <row r="56" spans="3:9" ht="15.75" customHeight="1">
      <c r="C56" s="726" t="s">
        <v>95</v>
      </c>
      <c r="D56" s="707">
        <f t="shared" ref="D56:D57" si="2">COUNTIFS(C:C,C56)</f>
        <v>1</v>
      </c>
      <c r="F56" s="707" t="str">
        <f t="array" ref="F56">IFERROR(_xlfn.IFS(D56=0,"",D56=1,C56,TRUE,E56),"")</f>
        <v>Green hydrogen for generators</v>
      </c>
      <c r="G56" s="707" t="s">
        <v>570</v>
      </c>
      <c r="I56" s="733" t="s">
        <v>96</v>
      </c>
    </row>
    <row r="57" spans="3:9" ht="15.75" customHeight="1">
      <c r="C57" s="726" t="s">
        <v>98</v>
      </c>
      <c r="D57" s="707">
        <f t="shared" si="2"/>
        <v>1</v>
      </c>
      <c r="F57" s="707" t="str">
        <f t="array" ref="F57">IFERROR(_xlfn.IFS(D57=0,"",D57=1,C57,TRUE,E57),"")</f>
        <v>Grey hydrogen for generators</v>
      </c>
      <c r="G57" s="707" t="s">
        <v>570</v>
      </c>
      <c r="I57" s="733" t="s">
        <v>96</v>
      </c>
    </row>
    <row r="58" spans="3:9" ht="15.75" customHeight="1">
      <c r="C58" s="726" t="s">
        <v>100</v>
      </c>
      <c r="D58" s="707">
        <f t="shared" ref="D58:D121" si="3">COUNTIFS(C:C,C58)</f>
        <v>1</v>
      </c>
      <c r="F58" s="707" t="str">
        <f t="array" ref="F58">IFERROR(_xlfn.IFS(D58=0,"",D58=1,C58,TRUE,E58),"")</f>
        <v xml:space="preserve">Natural gas from grid </v>
      </c>
      <c r="G58" s="707" t="s">
        <v>570</v>
      </c>
      <c r="I58" s="727" t="s">
        <v>101</v>
      </c>
    </row>
    <row r="59" spans="3:9" ht="15.75" customHeight="1">
      <c r="C59" s="726" t="s">
        <v>103</v>
      </c>
      <c r="D59" s="707">
        <f t="shared" si="3"/>
        <v>1</v>
      </c>
      <c r="F59" s="707" t="str">
        <f t="array" ref="F59">IFERROR(_xlfn.IFS(D59=0,"",D59=1,C59,TRUE,E59),"")</f>
        <v>Natural gas from bottles</v>
      </c>
      <c r="G59" s="707" t="s">
        <v>570</v>
      </c>
      <c r="I59" s="727" t="s">
        <v>96</v>
      </c>
    </row>
    <row r="60" spans="3:9" ht="15.75" customHeight="1">
      <c r="C60" s="728" t="s">
        <v>105</v>
      </c>
      <c r="D60" s="707">
        <f t="shared" si="3"/>
        <v>1</v>
      </c>
      <c r="F60" s="707" t="str">
        <f t="array" ref="F60">IFERROR(_xlfn.IFS(D60=0,"",D60=1,C60,TRUE,E60),"")</f>
        <v>Biogas from bottles and grid</v>
      </c>
      <c r="G60" s="707" t="s">
        <v>570</v>
      </c>
      <c r="I60" s="734" t="s">
        <v>96</v>
      </c>
    </row>
    <row r="61" spans="3:9" ht="15.75" customHeight="1">
      <c r="C61" s="709"/>
      <c r="D61" s="707">
        <f t="shared" si="3"/>
        <v>0</v>
      </c>
      <c r="F61" s="707" t="str">
        <f t="array" ref="F61">IFERROR(_xlfn.IFS(D61=0,"",D61=1,C61,TRUE,E61),"")</f>
        <v/>
      </c>
      <c r="I61" s="709"/>
    </row>
    <row r="62" spans="3:9" ht="23.25" customHeight="1">
      <c r="C62" s="737"/>
      <c r="D62" s="707">
        <f t="shared" si="3"/>
        <v>0</v>
      </c>
      <c r="F62" s="707" t="str">
        <f t="array" ref="F62">IFERROR(_xlfn.IFS(D62=0,"",D62=1,C62,TRUE,E62),"")</f>
        <v/>
      </c>
      <c r="I62" s="738"/>
    </row>
    <row r="63" spans="3:9" ht="173.25" customHeight="1">
      <c r="C63" s="739" t="s">
        <v>571</v>
      </c>
      <c r="D63" s="707" t="e">
        <f t="shared" si="3"/>
        <v>#VALUE!</v>
      </c>
      <c r="F63" s="707" t="str">
        <f t="array" ref="F63">IFERROR(_xlfn.IFS(D63=0,"",D63=1,C63,TRUE,E63),"")</f>
        <v/>
      </c>
      <c r="G63" s="707" t="s">
        <v>572</v>
      </c>
      <c r="I63" s="739"/>
    </row>
    <row r="64" spans="3:9" ht="20.25" customHeight="1">
      <c r="C64" s="740"/>
      <c r="D64" s="707">
        <f t="shared" si="3"/>
        <v>0</v>
      </c>
      <c r="F64" s="707" t="str">
        <f t="array" ref="F64">IFERROR(_xlfn.IFS(D64=0,"",D64=1,C64,TRUE,E64),"")</f>
        <v/>
      </c>
      <c r="I64" s="741"/>
    </row>
    <row r="65" spans="3:9" ht="18" customHeight="1">
      <c r="C65" s="742"/>
      <c r="D65" s="707">
        <f t="shared" si="3"/>
        <v>0</v>
      </c>
      <c r="F65" s="707" t="str">
        <f t="array" ref="F65">IFERROR(_xlfn.IFS(D65=0,"",D65=1,C65,TRUE,E65),"")</f>
        <v/>
      </c>
      <c r="I65" s="743"/>
    </row>
    <row r="66" spans="3:9" ht="15.75" customHeight="1">
      <c r="C66" s="744" t="s">
        <v>113</v>
      </c>
      <c r="D66" s="707">
        <f t="shared" si="3"/>
        <v>1</v>
      </c>
      <c r="F66" s="707" t="str">
        <f t="array" ref="F66">IFERROR(_xlfn.IFS(D66=0,"",D66=1,C66,TRUE,E66),"")</f>
        <v>Aluminum procured - virgin</v>
      </c>
      <c r="G66" s="707" t="s">
        <v>570</v>
      </c>
      <c r="I66" s="745" t="s">
        <v>96</v>
      </c>
    </row>
    <row r="67" spans="3:9" ht="15.75" customHeight="1">
      <c r="C67" s="744" t="s">
        <v>115</v>
      </c>
      <c r="D67" s="707">
        <f t="shared" si="3"/>
        <v>1</v>
      </c>
      <c r="F67" s="707" t="str">
        <f t="array" ref="F67">IFERROR(_xlfn.IFS(D67=0,"",D67=1,C67,TRUE,E67),"")</f>
        <v>Aluminum procured - recycled / second hand</v>
      </c>
      <c r="G67" s="707" t="s">
        <v>570</v>
      </c>
      <c r="I67" s="745" t="s">
        <v>96</v>
      </c>
    </row>
    <row r="68" spans="3:9" ht="15.75" customHeight="1">
      <c r="C68" s="744"/>
      <c r="D68" s="707">
        <f t="shared" si="3"/>
        <v>0</v>
      </c>
      <c r="F68" s="707" t="str">
        <f t="array" ref="F68">IFERROR(_xlfn.IFS(D68=0,"",D68=1,C68,TRUE,E68),"")</f>
        <v/>
      </c>
      <c r="I68" s="744"/>
    </row>
    <row r="69" spans="3:9" ht="15.75" customHeight="1">
      <c r="C69" s="744" t="s">
        <v>117</v>
      </c>
      <c r="D69" s="707">
        <f t="shared" si="3"/>
        <v>1</v>
      </c>
      <c r="F69" s="707" t="str">
        <f t="array" ref="F69">IFERROR(_xlfn.IFS(D69=0,"",D69=1,C69,TRUE,E69),"")</f>
        <v>Steel procured - virgin</v>
      </c>
      <c r="G69" s="707" t="s">
        <v>570</v>
      </c>
      <c r="I69" s="745" t="s">
        <v>96</v>
      </c>
    </row>
    <row r="70" spans="3:9" ht="15.75" customHeight="1">
      <c r="C70" s="744" t="s">
        <v>119</v>
      </c>
      <c r="D70" s="707">
        <f t="shared" si="3"/>
        <v>1</v>
      </c>
      <c r="F70" s="707" t="str">
        <f t="array" ref="F70">IFERROR(_xlfn.IFS(D70=0,"",D70=1,C70,TRUE,E70),"")</f>
        <v>Steel procured - recycled / second hand</v>
      </c>
      <c r="G70" s="707" t="s">
        <v>570</v>
      </c>
      <c r="I70" s="745" t="s">
        <v>96</v>
      </c>
    </row>
    <row r="71" spans="3:9" ht="15.75" customHeight="1">
      <c r="C71" s="744"/>
      <c r="D71" s="707">
        <f t="shared" si="3"/>
        <v>0</v>
      </c>
      <c r="F71" s="707" t="str">
        <f t="array" ref="F71">IFERROR(_xlfn.IFS(D71=0,"",D71=1,C71,TRUE,E71),"")</f>
        <v/>
      </c>
      <c r="I71" s="744"/>
    </row>
    <row r="72" spans="3:9" ht="15.75" customHeight="1">
      <c r="C72" s="744" t="s">
        <v>121</v>
      </c>
      <c r="D72" s="707">
        <f t="shared" si="3"/>
        <v>1</v>
      </c>
      <c r="F72" s="707" t="str">
        <f t="array" ref="F72">IFERROR(_xlfn.IFS(D72=0,"",D72=1,C72,TRUE,E72),"")</f>
        <v>(Other) metals procured - virgin</v>
      </c>
      <c r="G72" s="707" t="s">
        <v>570</v>
      </c>
      <c r="I72" s="745" t="s">
        <v>96</v>
      </c>
    </row>
    <row r="73" spans="3:9" ht="15.75" customHeight="1">
      <c r="C73" s="744" t="s">
        <v>123</v>
      </c>
      <c r="D73" s="707">
        <f t="shared" si="3"/>
        <v>1</v>
      </c>
      <c r="F73" s="707" t="str">
        <f t="array" ref="F73">IFERROR(_xlfn.IFS(D73=0,"",D73=1,C73,TRUE,E73),"")</f>
        <v>(Other) metals procured - recycled / second hand</v>
      </c>
      <c r="G73" s="707" t="s">
        <v>570</v>
      </c>
      <c r="I73" s="745" t="s">
        <v>96</v>
      </c>
    </row>
    <row r="74" spans="3:9" ht="15.75" customHeight="1">
      <c r="C74" s="744"/>
      <c r="D74" s="707">
        <f t="shared" si="3"/>
        <v>0</v>
      </c>
      <c r="F74" s="707" t="str">
        <f t="array" ref="F74">IFERROR(_xlfn.IFS(D74=0,"",D74=1,C74,TRUE,E74),"")</f>
        <v/>
      </c>
      <c r="I74" s="744"/>
    </row>
    <row r="75" spans="3:9" ht="15.75" customHeight="1">
      <c r="C75" s="744" t="s">
        <v>125</v>
      </c>
      <c r="D75" s="707">
        <f t="shared" si="3"/>
        <v>1</v>
      </c>
      <c r="F75" s="707" t="str">
        <f t="array" ref="F75">IFERROR(_xlfn.IFS(D75=0,"",D75=1,C75,TRUE,E75),"")</f>
        <v>Wood procured - virgin</v>
      </c>
      <c r="G75" s="707" t="s">
        <v>570</v>
      </c>
      <c r="I75" s="745" t="s">
        <v>96</v>
      </c>
    </row>
    <row r="76" spans="3:9" ht="15.75" customHeight="1">
      <c r="C76" s="744" t="s">
        <v>127</v>
      </c>
      <c r="D76" s="707">
        <f t="shared" si="3"/>
        <v>1</v>
      </c>
      <c r="F76" s="707" t="str">
        <f t="array" ref="F76">IFERROR(_xlfn.IFS(D76=0,"",D76=1,C76,TRUE,E76),"")</f>
        <v>Wood procured - recycled / second hand</v>
      </c>
      <c r="G76" s="707" t="s">
        <v>570</v>
      </c>
      <c r="I76" s="745" t="s">
        <v>96</v>
      </c>
    </row>
    <row r="77" spans="3:9" ht="15.75" customHeight="1">
      <c r="C77" s="744"/>
      <c r="D77" s="707">
        <f t="shared" si="3"/>
        <v>0</v>
      </c>
      <c r="F77" s="707" t="str">
        <f t="array" ref="F77">IFERROR(_xlfn.IFS(D77=0,"",D77=1,C77,TRUE,E77),"")</f>
        <v/>
      </c>
      <c r="I77" s="744"/>
    </row>
    <row r="78" spans="3:9" ht="15.75" customHeight="1">
      <c r="C78" s="744" t="s">
        <v>129</v>
      </c>
      <c r="D78" s="707">
        <f t="shared" si="3"/>
        <v>1</v>
      </c>
      <c r="F78" s="707" t="str">
        <f t="array" ref="F78">IFERROR(_xlfn.IFS(D78=0,"",D78=1,C78,TRUE,E78),"")</f>
        <v>Synthetic textiles procured - virgin</v>
      </c>
      <c r="G78" s="707" t="s">
        <v>570</v>
      </c>
      <c r="I78" s="745" t="s">
        <v>96</v>
      </c>
    </row>
    <row r="79" spans="3:9" ht="15.75" customHeight="1">
      <c r="C79" s="744" t="s">
        <v>131</v>
      </c>
      <c r="D79" s="707">
        <f t="shared" si="3"/>
        <v>1</v>
      </c>
      <c r="F79" s="707" t="str">
        <f t="array" ref="F79">IFERROR(_xlfn.IFS(D79=0,"",D79=1,C79,TRUE,E79),"")</f>
        <v>Synthetic textiles procured - recycled / second hand</v>
      </c>
      <c r="G79" s="707" t="s">
        <v>570</v>
      </c>
      <c r="I79" s="745" t="s">
        <v>96</v>
      </c>
    </row>
    <row r="80" spans="3:9" ht="15.75" customHeight="1">
      <c r="C80" s="744" t="s">
        <v>133</v>
      </c>
      <c r="D80" s="707">
        <f t="shared" si="3"/>
        <v>1</v>
      </c>
      <c r="F80" s="707" t="str">
        <f t="array" ref="F80">IFERROR(_xlfn.IFS(D80=0,"",D80=1,C80,TRUE,E80),"")</f>
        <v>Bio-based textiles procured - virgin</v>
      </c>
      <c r="G80" s="707" t="s">
        <v>570</v>
      </c>
      <c r="I80" s="745" t="s">
        <v>96</v>
      </c>
    </row>
    <row r="81" spans="3:9" ht="15.75" customHeight="1">
      <c r="C81" s="744" t="s">
        <v>135</v>
      </c>
      <c r="D81" s="707">
        <f t="shared" si="3"/>
        <v>1</v>
      </c>
      <c r="F81" s="707" t="str">
        <f t="array" ref="F81">IFERROR(_xlfn.IFS(D81=0,"",D81=1,C81,TRUE,E81),"")</f>
        <v>Bio-based textiles procured - recycled / second hand</v>
      </c>
      <c r="G81" s="707" t="s">
        <v>570</v>
      </c>
      <c r="I81" s="745" t="s">
        <v>96</v>
      </c>
    </row>
    <row r="82" spans="3:9" ht="15.75" customHeight="1">
      <c r="C82" s="744"/>
      <c r="D82" s="707">
        <f t="shared" si="3"/>
        <v>0</v>
      </c>
      <c r="F82" s="707" t="str">
        <f t="array" ref="F82">IFERROR(_xlfn.IFS(D82=0,"",D82=1,C82,TRUE,E82),"")</f>
        <v/>
      </c>
      <c r="I82" s="744"/>
    </row>
    <row r="83" spans="3:9" ht="15.75" customHeight="1">
      <c r="C83" s="613" t="s">
        <v>137</v>
      </c>
      <c r="D83" s="707">
        <f t="shared" si="3"/>
        <v>1</v>
      </c>
      <c r="F83" s="707" t="str">
        <f t="array" ref="F83">IFERROR(_xlfn.IFS(D83=0,"",D83=1,C83,TRUE,E83),"")</f>
        <v>Synthetic plastics procured - virgin</v>
      </c>
      <c r="G83" s="707" t="s">
        <v>570</v>
      </c>
      <c r="I83" s="745" t="s">
        <v>96</v>
      </c>
    </row>
    <row r="84" spans="3:9" ht="15.75" customHeight="1">
      <c r="C84" s="613" t="s">
        <v>139</v>
      </c>
      <c r="D84" s="707">
        <f t="shared" si="3"/>
        <v>1</v>
      </c>
      <c r="F84" s="707" t="str">
        <f t="array" ref="F84">IFERROR(_xlfn.IFS(D84=0,"",D84=1,C84,TRUE,E84),"")</f>
        <v>Synthetic plastics procured - recycled / second hand</v>
      </c>
      <c r="G84" s="707" t="s">
        <v>570</v>
      </c>
      <c r="I84" s="745" t="s">
        <v>96</v>
      </c>
    </row>
    <row r="85" spans="3:9" ht="15.75" customHeight="1">
      <c r="C85" s="610" t="s">
        <v>141</v>
      </c>
      <c r="D85" s="707">
        <f t="shared" si="3"/>
        <v>1</v>
      </c>
      <c r="F85" s="707" t="str">
        <f t="array" ref="F85">IFERROR(_xlfn.IFS(D85=0,"",D85=1,C85,TRUE,E85),"")</f>
        <v>Bio-based plastics procured - virgin</v>
      </c>
      <c r="G85" s="707" t="s">
        <v>570</v>
      </c>
      <c r="I85" s="745" t="s">
        <v>96</v>
      </c>
    </row>
    <row r="86" spans="3:9" ht="15.75" customHeight="1">
      <c r="C86" s="611" t="s">
        <v>143</v>
      </c>
      <c r="D86" s="707">
        <f t="shared" si="3"/>
        <v>1</v>
      </c>
      <c r="F86" s="707" t="str">
        <f t="array" ref="F86">IFERROR(_xlfn.IFS(D86=0,"",D86=1,C86,TRUE,E86),"")</f>
        <v>Bio-based plastics procured - recycled / second hand</v>
      </c>
      <c r="G86" s="707" t="s">
        <v>570</v>
      </c>
      <c r="I86" s="745" t="s">
        <v>96</v>
      </c>
    </row>
    <row r="87" spans="3:9" ht="15.75" customHeight="1">
      <c r="C87" s="744"/>
      <c r="D87" s="707">
        <f t="shared" si="3"/>
        <v>0</v>
      </c>
      <c r="F87" s="707" t="str">
        <f t="array" ref="F87">IFERROR(_xlfn.IFS(D87=0,"",D87=1,C87,TRUE,E87),"")</f>
        <v/>
      </c>
      <c r="I87" s="744"/>
    </row>
    <row r="88" spans="3:9" ht="15.75" customHeight="1">
      <c r="C88" s="744" t="s">
        <v>145</v>
      </c>
      <c r="D88" s="707">
        <f t="shared" si="3"/>
        <v>1</v>
      </c>
      <c r="F88" s="707" t="str">
        <f t="array" ref="F88">IFERROR(_xlfn.IFS(D88=0,"",D88=1,C88,TRUE,E88),"")</f>
        <v>Paper procured - virgin</v>
      </c>
      <c r="G88" s="707" t="s">
        <v>570</v>
      </c>
      <c r="I88" s="745" t="s">
        <v>96</v>
      </c>
    </row>
    <row r="89" spans="3:9" ht="15.75" customHeight="1">
      <c r="C89" s="744" t="s">
        <v>147</v>
      </c>
      <c r="D89" s="707">
        <f t="shared" si="3"/>
        <v>1</v>
      </c>
      <c r="F89" s="707" t="str" cm="1">
        <f t="array" ref="F89">IFERROR(_xlfn.IFS(D89=0,"",D89=1,C89,TRUE,E89),"")</f>
        <v>Paper procured - recycled / second hand</v>
      </c>
      <c r="G89" s="707" t="s">
        <v>570</v>
      </c>
      <c r="I89" s="745" t="s">
        <v>96</v>
      </c>
    </row>
    <row r="90" spans="3:9" ht="20.25" customHeight="1">
      <c r="C90" s="746"/>
      <c r="D90" s="707">
        <f t="shared" si="3"/>
        <v>0</v>
      </c>
      <c r="F90" s="707" t="str">
        <f t="array" ref="F90">IFERROR(_xlfn.IFS(D90=0,"",D90=1,C90,TRUE,E90),"")</f>
        <v/>
      </c>
      <c r="I90" s="746"/>
    </row>
    <row r="91" spans="3:9" ht="18" customHeight="1">
      <c r="C91" s="742"/>
      <c r="D91" s="707">
        <f t="shared" si="3"/>
        <v>0</v>
      </c>
      <c r="F91" s="707" t="str">
        <f t="array" ref="F91">IFERROR(_xlfn.IFS(D91=0,"",D91=1,C91,TRUE,E91),"")</f>
        <v/>
      </c>
      <c r="I91" s="743"/>
    </row>
    <row r="92" spans="3:9" ht="15.75" customHeight="1">
      <c r="C92" s="747" t="s">
        <v>152</v>
      </c>
      <c r="D92" s="707">
        <f t="shared" si="3"/>
        <v>1</v>
      </c>
      <c r="F92" s="707" t="str">
        <f t="array" ref="F92">IFERROR(_xlfn.IFS(D92=0,"",D92=1,C92,TRUE,E92),"")</f>
        <v>Reusable cups</v>
      </c>
      <c r="G92" s="707" t="s">
        <v>570</v>
      </c>
      <c r="I92" s="748" t="s">
        <v>153</v>
      </c>
    </row>
    <row r="93" spans="3:9" ht="15.75" customHeight="1">
      <c r="C93" s="749" t="s">
        <v>155</v>
      </c>
      <c r="D93" s="707">
        <f t="shared" si="3"/>
        <v>1</v>
      </c>
      <c r="F93" s="707" t="str">
        <f t="array" ref="F93">IFERROR(_xlfn.IFS(D93=0,"",D93=1,C93,TRUE,E93),"")</f>
        <v>Percentage missing reusable cups</v>
      </c>
      <c r="G93" s="707" t="s">
        <v>570</v>
      </c>
      <c r="I93" s="750" t="s">
        <v>156</v>
      </c>
    </row>
    <row r="94" spans="3:9" ht="15.75" customHeight="1">
      <c r="C94" s="749" t="s">
        <v>158</v>
      </c>
      <c r="D94" s="707">
        <f t="shared" si="3"/>
        <v>1</v>
      </c>
      <c r="F94" s="707" t="str">
        <f t="array" ref="F94">IFERROR(_xlfn.IFS(D94=0,"",D94=1,C94,TRUE,E94),"")</f>
        <v>Reusable tableware</v>
      </c>
      <c r="G94" s="707" t="s">
        <v>570</v>
      </c>
      <c r="I94" s="748" t="s">
        <v>153</v>
      </c>
    </row>
    <row r="95" spans="3:9" ht="15.75" customHeight="1">
      <c r="C95" s="749" t="s">
        <v>160</v>
      </c>
      <c r="D95" s="707">
        <f t="shared" si="3"/>
        <v>1</v>
      </c>
      <c r="F95" s="707" t="str">
        <f t="array" ref="F95">IFERROR(_xlfn.IFS(D95=0,"",D95=1,C95,TRUE,E95),"")</f>
        <v xml:space="preserve">Percentage missing tableware </v>
      </c>
      <c r="G95" s="707" t="s">
        <v>570</v>
      </c>
      <c r="I95" s="750" t="s">
        <v>156</v>
      </c>
    </row>
    <row r="96" spans="3:9" ht="15.75" customHeight="1">
      <c r="C96" s="749" t="s">
        <v>162</v>
      </c>
      <c r="D96" s="707">
        <f t="shared" si="3"/>
        <v>1</v>
      </c>
      <c r="F96" s="707" t="str">
        <f t="array" ref="F96">IFERROR(_xlfn.IFS(D96=0,"",D96=1,C96,TRUE,E96),"")</f>
        <v>Reusable cutlery</v>
      </c>
      <c r="G96" s="707" t="s">
        <v>570</v>
      </c>
      <c r="I96" s="748" t="s">
        <v>153</v>
      </c>
    </row>
    <row r="97" spans="3:9" ht="15.75" customHeight="1">
      <c r="C97" s="751" t="s">
        <v>164</v>
      </c>
      <c r="D97" s="707">
        <f t="shared" si="3"/>
        <v>1</v>
      </c>
      <c r="F97" s="707" t="str">
        <f t="array" ref="F97">IFERROR(_xlfn.IFS(D97=0,"",D97=1,C97,TRUE,E97),"")</f>
        <v>Percentage missing reusable cutlery</v>
      </c>
      <c r="G97" s="707" t="s">
        <v>570</v>
      </c>
      <c r="I97" s="729" t="s">
        <v>156</v>
      </c>
    </row>
    <row r="98" spans="3:9" ht="18" customHeight="1">
      <c r="C98" s="742"/>
      <c r="D98" s="707">
        <f t="shared" si="3"/>
        <v>0</v>
      </c>
      <c r="F98" s="707" t="str">
        <f t="array" ref="F98">IFERROR(_xlfn.IFS(D98=0,"",D98=1,C98,TRUE,E98),"")</f>
        <v/>
      </c>
      <c r="I98" s="743"/>
    </row>
    <row r="99" spans="3:9" ht="15.75" customHeight="1">
      <c r="C99" s="41" t="s">
        <v>167</v>
      </c>
      <c r="D99" s="707">
        <f t="shared" si="3"/>
        <v>1</v>
      </c>
      <c r="F99" s="707" t="str">
        <f t="array" ref="F99">IFERROR(_xlfn.IFS(D99=0,"",D99=1,C99,TRUE,E99),"")</f>
        <v>Single-use cups - virgin plastic</v>
      </c>
      <c r="G99" s="707" t="s">
        <v>570</v>
      </c>
      <c r="I99" s="748" t="s">
        <v>153</v>
      </c>
    </row>
    <row r="100" spans="3:9" ht="15.75" customHeight="1">
      <c r="C100" s="41" t="s">
        <v>169</v>
      </c>
      <c r="D100" s="707">
        <f t="shared" si="3"/>
        <v>1</v>
      </c>
      <c r="F100" s="707" t="str">
        <f t="array" ref="F100">IFERROR(_xlfn.IFS(D100=0,"",D100=1,C100,TRUE,E100),"")</f>
        <v>Single-use cups - recycled plastic or biobased material</v>
      </c>
      <c r="G100" s="707" t="s">
        <v>570</v>
      </c>
      <c r="I100" s="748" t="s">
        <v>153</v>
      </c>
    </row>
    <row r="101" spans="3:9" ht="15.75" customHeight="1">
      <c r="C101" s="752" t="s">
        <v>171</v>
      </c>
      <c r="D101" s="707">
        <f t="shared" si="3"/>
        <v>1</v>
      </c>
      <c r="F101" s="707" t="str">
        <f t="array" ref="F101">IFERROR(_xlfn.IFS(D101=0,"",D101=1,C101,TRUE,E101),"")</f>
        <v>Recycling percentage/composting single-use cups</v>
      </c>
      <c r="G101" s="707" t="s">
        <v>570</v>
      </c>
      <c r="I101" s="750" t="s">
        <v>156</v>
      </c>
    </row>
    <row r="102" spans="3:9" ht="15.75" customHeight="1">
      <c r="C102" s="42" t="s">
        <v>173</v>
      </c>
      <c r="D102" s="707">
        <f t="shared" si="3"/>
        <v>1</v>
      </c>
      <c r="F102" s="707" t="str">
        <f t="array" ref="F102">IFERROR(_xlfn.IFS(D102=0,"",D102=1,C102,TRUE,E102),"")</f>
        <v>Single-use tableware - virgin plastic</v>
      </c>
      <c r="G102" s="707" t="s">
        <v>570</v>
      </c>
      <c r="I102" s="748" t="s">
        <v>153</v>
      </c>
    </row>
    <row r="103" spans="3:9" ht="15.75" customHeight="1">
      <c r="C103" s="42" t="s">
        <v>175</v>
      </c>
      <c r="D103" s="707">
        <f t="shared" si="3"/>
        <v>1</v>
      </c>
      <c r="F103" s="707" t="str">
        <f t="array" ref="F103">IFERROR(_xlfn.IFS(D103=0,"",D103=1,C103,TRUE,E103),"")</f>
        <v>Single-use tableware - recycled plastic or biobased material</v>
      </c>
      <c r="G103" s="707" t="s">
        <v>570</v>
      </c>
      <c r="I103" s="748" t="s">
        <v>153</v>
      </c>
    </row>
    <row r="104" spans="3:9" ht="15.75" customHeight="1">
      <c r="C104" s="752" t="s">
        <v>177</v>
      </c>
      <c r="D104" s="707">
        <f t="shared" si="3"/>
        <v>1</v>
      </c>
      <c r="F104" s="707" t="str">
        <f t="array" ref="F104">IFERROR(_xlfn.IFS(D104=0,"",D104=1,C104,TRUE,E104),"")</f>
        <v>Recycling/composting percentage single-use tableware</v>
      </c>
      <c r="G104" s="707" t="s">
        <v>570</v>
      </c>
      <c r="I104" s="750" t="s">
        <v>156</v>
      </c>
    </row>
    <row r="105" spans="3:9" ht="15.75" customHeight="1">
      <c r="C105" s="42" t="s">
        <v>179</v>
      </c>
      <c r="D105" s="707">
        <f t="shared" si="3"/>
        <v>1</v>
      </c>
      <c r="F105" s="707" t="str">
        <f t="array" ref="F105">IFERROR(_xlfn.IFS(D105=0,"",D105=1,C105,TRUE,E105),"")</f>
        <v>Single-use cutlery - virgin plastic</v>
      </c>
      <c r="G105" s="707" t="s">
        <v>570</v>
      </c>
      <c r="I105" s="748" t="s">
        <v>153</v>
      </c>
    </row>
    <row r="106" spans="3:9" ht="15.75" customHeight="1">
      <c r="C106" s="42" t="s">
        <v>181</v>
      </c>
      <c r="D106" s="707">
        <f t="shared" si="3"/>
        <v>1</v>
      </c>
      <c r="F106" s="707" t="str">
        <f t="array" ref="F106">IFERROR(_xlfn.IFS(D106=0,"",D106=1,C106,TRUE,E106),"")</f>
        <v>Single-use cutlery - recycled plastic or biobased material</v>
      </c>
      <c r="G106" s="707" t="s">
        <v>570</v>
      </c>
      <c r="I106" s="748" t="s">
        <v>153</v>
      </c>
    </row>
    <row r="107" spans="3:9" ht="15.75" customHeight="1">
      <c r="C107" s="753" t="s">
        <v>183</v>
      </c>
      <c r="D107" s="707">
        <f t="shared" si="3"/>
        <v>1</v>
      </c>
      <c r="F107" s="707" t="str">
        <f t="array" ref="F107">IFERROR(_xlfn.IFS(D107=0,"",D107=1,C107,TRUE,E107),"")</f>
        <v>Recycling/composting percentage single-use cutlery</v>
      </c>
      <c r="G107" s="707" t="s">
        <v>570</v>
      </c>
      <c r="I107" s="729" t="s">
        <v>156</v>
      </c>
    </row>
    <row r="108" spans="3:9" ht="18" customHeight="1">
      <c r="C108" s="742"/>
      <c r="D108" s="707">
        <f t="shared" si="3"/>
        <v>0</v>
      </c>
      <c r="F108" s="707" t="str">
        <f t="array" ref="F108">IFERROR(_xlfn.IFS(D108=0,"",D108=1,C108,TRUE,E108),"")</f>
        <v/>
      </c>
      <c r="I108" s="743"/>
    </row>
    <row r="109" spans="3:9" ht="15.75" customHeight="1">
      <c r="C109" s="754" t="s">
        <v>187</v>
      </c>
      <c r="D109" s="707">
        <f t="shared" si="3"/>
        <v>1</v>
      </c>
      <c r="F109" s="707" t="str">
        <f t="array" ref="F109">IFERROR(_xlfn.IFS(D109=0,"",D109=1,C109,TRUE,E109),"")</f>
        <v>Paper/cardboard accepted for recycling</v>
      </c>
      <c r="G109" s="707" t="s">
        <v>570</v>
      </c>
      <c r="I109" s="755" t="s">
        <v>96</v>
      </c>
    </row>
    <row r="110" spans="3:9" ht="15.75" customHeight="1">
      <c r="C110" s="756" t="s">
        <v>189</v>
      </c>
      <c r="D110" s="707">
        <f t="shared" si="3"/>
        <v>1</v>
      </c>
      <c r="F110" s="707" t="str">
        <f t="array" ref="F110">IFERROR(_xlfn.IFS(D110=0,"",D110=1,C110,TRUE,E110),"")</f>
        <v>Glass accepted for recycling</v>
      </c>
      <c r="G110" s="707" t="s">
        <v>570</v>
      </c>
      <c r="I110" s="755" t="s">
        <v>96</v>
      </c>
    </row>
    <row r="111" spans="3:9" ht="15.75" customHeight="1">
      <c r="C111" s="756" t="s">
        <v>191</v>
      </c>
      <c r="D111" s="707">
        <f t="shared" si="3"/>
        <v>1</v>
      </c>
      <c r="F111" s="707" t="str">
        <f t="array" ref="F111">IFERROR(_xlfn.IFS(D111=0,"",D111=1,C111,TRUE,E111),"")</f>
        <v>PMD or mixed packaging accepted for recycling</v>
      </c>
      <c r="G111" s="707" t="s">
        <v>570</v>
      </c>
      <c r="I111" s="755" t="s">
        <v>96</v>
      </c>
    </row>
    <row r="112" spans="3:9" ht="15.75" customHeight="1">
      <c r="C112" s="756" t="s">
        <v>193</v>
      </c>
      <c r="D112" s="707">
        <f t="shared" si="3"/>
        <v>1</v>
      </c>
      <c r="F112" s="707" t="str">
        <f t="array" ref="F112">IFERROR(_xlfn.IFS(D112=0,"",D112=1,C112,TRUE,E112),"")</f>
        <v>Plastic accepted for recycling</v>
      </c>
      <c r="G112" s="707" t="s">
        <v>570</v>
      </c>
      <c r="I112" s="755" t="s">
        <v>96</v>
      </c>
    </row>
    <row r="113" spans="3:9" ht="15.75" customHeight="1">
      <c r="C113" s="756" t="s">
        <v>195</v>
      </c>
      <c r="D113" s="707">
        <f t="shared" si="3"/>
        <v>1</v>
      </c>
      <c r="F113" s="707" t="str">
        <f t="array" ref="F113">IFERROR(_xlfn.IFS(D113=0,"",D113=1,C113,TRUE,E113),"")</f>
        <v>Aluminum accepted for recycling</v>
      </c>
      <c r="G113" s="707" t="s">
        <v>570</v>
      </c>
      <c r="I113" s="755" t="s">
        <v>96</v>
      </c>
    </row>
    <row r="114" spans="3:9" ht="15.75" customHeight="1">
      <c r="C114" s="756" t="s">
        <v>197</v>
      </c>
      <c r="D114" s="707">
        <f t="shared" si="3"/>
        <v>1</v>
      </c>
      <c r="F114" s="707" t="str">
        <f t="array" ref="F114">IFERROR(_xlfn.IFS(D114=0,"",D114=1,C114,TRUE,E114),"")</f>
        <v>Metals accepted for recycling</v>
      </c>
      <c r="G114" s="707" t="s">
        <v>570</v>
      </c>
      <c r="I114" s="755" t="s">
        <v>96</v>
      </c>
    </row>
    <row r="115" spans="3:9" ht="15.75" customHeight="1">
      <c r="C115" s="756" t="s">
        <v>199</v>
      </c>
      <c r="D115" s="707">
        <f t="shared" si="3"/>
        <v>1</v>
      </c>
      <c r="F115" s="707" t="str">
        <f t="array" ref="F115">IFERROR(_xlfn.IFS(D115=0,"",D115=1,C115,TRUE,E115),"")</f>
        <v>Organic / food waste accepted for composting/fermenting</v>
      </c>
      <c r="G115" s="707" t="s">
        <v>570</v>
      </c>
      <c r="I115" s="755" t="s">
        <v>96</v>
      </c>
    </row>
    <row r="116" spans="3:9" ht="15.75" customHeight="1">
      <c r="C116" s="756" t="s">
        <v>201</v>
      </c>
      <c r="D116" s="707">
        <f t="shared" si="3"/>
        <v>1</v>
      </c>
      <c r="F116" s="707" t="str">
        <f t="array" ref="F116">IFERROR(_xlfn.IFS(D116=0,"",D116=1,C116,TRUE,E116),"")</f>
        <v>Cooking oil accepted for refining</v>
      </c>
      <c r="G116" s="707" t="s">
        <v>570</v>
      </c>
      <c r="I116" s="733" t="s">
        <v>91</v>
      </c>
    </row>
    <row r="117" spans="3:9" ht="15.75" customHeight="1">
      <c r="C117" s="756" t="s">
        <v>203</v>
      </c>
      <c r="D117" s="707">
        <f t="shared" si="3"/>
        <v>1</v>
      </c>
      <c r="F117" s="707" t="str">
        <f t="array" ref="F117">IFERROR(_xlfn.IFS(D117=0,"",D117=1,C117,TRUE,E117),"")</f>
        <v>Wood accepted for recycling</v>
      </c>
      <c r="G117" s="707" t="s">
        <v>570</v>
      </c>
      <c r="I117" s="755" t="s">
        <v>96</v>
      </c>
    </row>
    <row r="118" spans="3:9" ht="15.75" customHeight="1">
      <c r="C118" s="757" t="s">
        <v>205</v>
      </c>
      <c r="D118" s="707">
        <f t="shared" si="3"/>
        <v>1</v>
      </c>
      <c r="F118" s="707" t="str">
        <f t="array" ref="F118">IFERROR(_xlfn.IFS(D118=0,"",D118=1,C118,TRUE,E118),"")</f>
        <v>Building / demolition waste accepted for recycling</v>
      </c>
      <c r="G118" s="707" t="s">
        <v>570</v>
      </c>
      <c r="I118" s="755" t="s">
        <v>96</v>
      </c>
    </row>
    <row r="119" spans="3:9" ht="18" customHeight="1">
      <c r="C119" s="758"/>
      <c r="D119" s="707">
        <f t="shared" si="3"/>
        <v>0</v>
      </c>
      <c r="F119" s="707" t="str">
        <f t="array" ref="F119">IFERROR(_xlfn.IFS(D119=0,"",D119=1,C119,TRUE,E119),"")</f>
        <v/>
      </c>
      <c r="G119" s="707" t="s">
        <v>570</v>
      </c>
      <c r="I119" s="759"/>
    </row>
    <row r="120" spans="3:9" ht="15.75" customHeight="1">
      <c r="C120" s="724" t="s">
        <v>573</v>
      </c>
      <c r="D120" s="707">
        <f t="shared" si="3"/>
        <v>1</v>
      </c>
      <c r="F120" s="707" t="str">
        <f t="array" ref="F120">IFERROR(_xlfn.IFS(D120=0,"",D120=1,C120,TRUE,E120),"")</f>
        <v>Incineration after post separation</v>
      </c>
      <c r="G120" s="707" t="s">
        <v>570</v>
      </c>
      <c r="I120" s="755" t="s">
        <v>574</v>
      </c>
    </row>
    <row r="121" spans="3:9" ht="15.75" customHeight="1">
      <c r="C121" s="760" t="s">
        <v>210</v>
      </c>
      <c r="D121" s="707">
        <f t="shared" si="3"/>
        <v>1</v>
      </c>
      <c r="F121" s="707" t="str">
        <f t="array" ref="F121">IFERROR(_xlfn.IFS(D121=0,"",D121=1,C121,TRUE,E121),"")</f>
        <v>Incineration with energy recovery</v>
      </c>
      <c r="G121" s="707" t="s">
        <v>570</v>
      </c>
      <c r="I121" s="755" t="s">
        <v>574</v>
      </c>
    </row>
    <row r="122" spans="3:9" ht="15.75" customHeight="1">
      <c r="C122" s="760" t="s">
        <v>212</v>
      </c>
      <c r="D122" s="707">
        <f t="shared" ref="D122:D185" si="4">COUNTIFS(C:C,C122)</f>
        <v>1</v>
      </c>
      <c r="F122" s="707" t="str">
        <f t="array" ref="F122">IFERROR(_xlfn.IFS(D122=0,"",D122=1,C122,TRUE,E122),"")</f>
        <v>Incineration without energy recovery</v>
      </c>
      <c r="G122" s="707" t="s">
        <v>570</v>
      </c>
      <c r="I122" s="755" t="s">
        <v>574</v>
      </c>
    </row>
    <row r="123" spans="3:9" ht="15.75" customHeight="1">
      <c r="C123" s="761" t="s">
        <v>214</v>
      </c>
      <c r="D123" s="707">
        <f t="shared" si="4"/>
        <v>1</v>
      </c>
      <c r="F123" s="707" t="str">
        <f t="array" ref="F123">IFERROR(_xlfn.IFS(D123=0,"",D123=1,C123,TRUE,E123),"")</f>
        <v>Landfilled</v>
      </c>
      <c r="G123" s="707" t="s">
        <v>570</v>
      </c>
      <c r="I123" s="762" t="s">
        <v>574</v>
      </c>
    </row>
    <row r="124" spans="3:9" ht="15.75" customHeight="1">
      <c r="C124" s="720"/>
      <c r="D124" s="707">
        <f t="shared" si="4"/>
        <v>0</v>
      </c>
      <c r="F124" s="707" t="str">
        <f t="array" ref="F124">IFERROR(_xlfn.IFS(D124=0,"",D124=1,C124,TRUE,E124),"")</f>
        <v/>
      </c>
      <c r="G124" s="707" t="s">
        <v>570</v>
      </c>
      <c r="I124" s="763"/>
    </row>
    <row r="125" spans="3:9" ht="23.25" customHeight="1">
      <c r="C125" s="764"/>
      <c r="D125" s="707">
        <f t="shared" si="4"/>
        <v>0</v>
      </c>
      <c r="F125" s="707" t="str">
        <f t="array" ref="F125">IFERROR(_xlfn.IFS(D125=0,"",D125=1,C125,TRUE,E125),"")</f>
        <v/>
      </c>
      <c r="G125" s="707" t="s">
        <v>570</v>
      </c>
      <c r="I125" s="764"/>
    </row>
    <row r="126" spans="3:9" ht="220.5" customHeight="1">
      <c r="C126" s="765" t="s">
        <v>575</v>
      </c>
      <c r="D126" s="707" t="e">
        <f t="shared" si="4"/>
        <v>#VALUE!</v>
      </c>
      <c r="F126" s="707" t="str">
        <f t="array" ref="F126">IFERROR(_xlfn.IFS(D126=0,"",D126=1,C126,TRUE,E126),"")</f>
        <v/>
      </c>
      <c r="G126" s="707" t="s">
        <v>570</v>
      </c>
      <c r="I126" s="766"/>
    </row>
    <row r="127" spans="3:9" ht="20.25" customHeight="1">
      <c r="C127" s="767"/>
      <c r="D127" s="707">
        <f t="shared" si="4"/>
        <v>0</v>
      </c>
      <c r="F127" s="707" t="str">
        <f t="array" ref="F127">IFERROR(_xlfn.IFS(D127=0,"",D127=1,C127,TRUE,E127),"")</f>
        <v/>
      </c>
      <c r="G127" s="707" t="s">
        <v>570</v>
      </c>
      <c r="I127" s="768"/>
    </row>
    <row r="128" spans="3:9" ht="18" customHeight="1">
      <c r="C128" s="769"/>
      <c r="D128" s="707">
        <f t="shared" si="4"/>
        <v>0</v>
      </c>
      <c r="F128" s="707" t="str">
        <f t="array" ref="F128">IFERROR(_xlfn.IFS(D128=0,"",D128=1,C128,TRUE,E128),"")</f>
        <v/>
      </c>
      <c r="G128" s="707" t="s">
        <v>570</v>
      </c>
      <c r="I128" s="770"/>
    </row>
    <row r="129" spans="3:9" ht="15.75" customHeight="1">
      <c r="C129" s="760" t="s">
        <v>221</v>
      </c>
      <c r="D129" s="707">
        <f t="shared" si="4"/>
        <v>1</v>
      </c>
      <c r="F129" s="707" t="str">
        <f t="array" ref="F129">IFERROR(_xlfn.IFS(D129=0,"",D129=1,C129,TRUE,E129),"")</f>
        <v xml:space="preserve">Percentage of VISITORS on FOOT or BICYCLE </v>
      </c>
      <c r="G129" s="707" t="s">
        <v>568</v>
      </c>
      <c r="I129" s="771" t="s">
        <v>156</v>
      </c>
    </row>
    <row r="130" spans="3:9" ht="15.75" customHeight="1">
      <c r="C130" s="760" t="s">
        <v>223</v>
      </c>
      <c r="D130" s="707">
        <f t="shared" si="4"/>
        <v>1</v>
      </c>
      <c r="F130" s="707" t="str">
        <f t="array" ref="F130">IFERROR(_xlfn.IFS(D130=0,"",D130=1,C130,TRUE,E130),"")</f>
        <v>Average distance VISITORS on FOOT or BICYCLE (one-way)</v>
      </c>
      <c r="G130" s="707" t="s">
        <v>568</v>
      </c>
      <c r="I130" s="772" t="s">
        <v>224</v>
      </c>
    </row>
    <row r="131" spans="3:9" ht="15.75" customHeight="1">
      <c r="C131" s="773"/>
      <c r="D131" s="707">
        <f t="shared" si="4"/>
        <v>0</v>
      </c>
      <c r="F131" s="707" t="str">
        <f t="array" ref="F131">IFERROR(_xlfn.IFS(D131=0,"",D131=1,C131,TRUE,E131),"")</f>
        <v/>
      </c>
      <c r="G131" s="707" t="s">
        <v>568</v>
      </c>
      <c r="I131" s="773"/>
    </row>
    <row r="132" spans="3:9" ht="15.75" customHeight="1">
      <c r="C132" s="760" t="s">
        <v>225</v>
      </c>
      <c r="D132" s="707">
        <f t="shared" si="4"/>
        <v>1</v>
      </c>
      <c r="F132" s="707" t="str">
        <f t="array" ref="F132">IFERROR(_xlfn.IFS(D132=0,"",D132=1,C132,TRUE,E132),"")</f>
        <v>Percentage of VISITORS by METRO or TRAM</v>
      </c>
      <c r="G132" s="707" t="s">
        <v>568</v>
      </c>
      <c r="I132" s="771" t="s">
        <v>156</v>
      </c>
    </row>
    <row r="133" spans="3:9" ht="15.75" customHeight="1">
      <c r="C133" s="760" t="s">
        <v>227</v>
      </c>
      <c r="D133" s="707">
        <f t="shared" si="4"/>
        <v>1</v>
      </c>
      <c r="F133" s="707" t="str">
        <f t="array" ref="F133">IFERROR(_xlfn.IFS(D133=0,"",D133=1,C133,TRUE,E133),"")</f>
        <v>Average distance VISITORS by METRO or TRAM (one-way)</v>
      </c>
      <c r="G133" s="707" t="s">
        <v>568</v>
      </c>
      <c r="I133" s="772" t="s">
        <v>224</v>
      </c>
    </row>
    <row r="134" spans="3:9" ht="15.75" customHeight="1">
      <c r="C134" s="773"/>
      <c r="D134" s="707">
        <f t="shared" si="4"/>
        <v>0</v>
      </c>
      <c r="F134" s="707" t="str">
        <f t="array" ref="F134">IFERROR(_xlfn.IFS(D134=0,"",D134=1,C134,TRUE,E134),"")</f>
        <v/>
      </c>
      <c r="G134" s="707" t="s">
        <v>568</v>
      </c>
      <c r="I134" s="773"/>
    </row>
    <row r="135" spans="3:9" ht="15.75" customHeight="1">
      <c r="C135" s="760" t="s">
        <v>228</v>
      </c>
      <c r="D135" s="707">
        <f t="shared" si="4"/>
        <v>1</v>
      </c>
      <c r="F135" s="707" t="str">
        <f t="array" ref="F135">IFERROR(_xlfn.IFS(D135=0,"",D135=1,C135,TRUE,E135),"")</f>
        <v>Percentage of VISITORS by LOCAL BUS on FOSSIL FUEL</v>
      </c>
      <c r="G135" s="707" t="s">
        <v>568</v>
      </c>
      <c r="I135" s="771" t="s">
        <v>156</v>
      </c>
    </row>
    <row r="136" spans="3:9" ht="15.75" customHeight="1">
      <c r="C136" s="760" t="s">
        <v>230</v>
      </c>
      <c r="D136" s="707">
        <f t="shared" si="4"/>
        <v>1</v>
      </c>
      <c r="F136" s="707" t="str">
        <f t="array" ref="F136">IFERROR(_xlfn.IFS(D136=0,"",D136=1,C136,TRUE,E136),"")</f>
        <v>Average distance VISITORS by LOCAL BUS ON FOSSIL FUEL (one-way)</v>
      </c>
      <c r="G136" s="707" t="s">
        <v>568</v>
      </c>
      <c r="I136" s="772" t="s">
        <v>224</v>
      </c>
    </row>
    <row r="137" spans="3:9" ht="15.75" customHeight="1">
      <c r="C137" s="773"/>
      <c r="D137" s="707">
        <f t="shared" si="4"/>
        <v>0</v>
      </c>
      <c r="F137" s="707" t="str">
        <f t="array" ref="F137">IFERROR(_xlfn.IFS(D137=0,"",D137=1,C137,TRUE,E137),"")</f>
        <v/>
      </c>
      <c r="G137" s="707" t="s">
        <v>568</v>
      </c>
      <c r="I137" s="773"/>
    </row>
    <row r="138" spans="3:9" ht="15.75" customHeight="1">
      <c r="C138" s="760" t="s">
        <v>231</v>
      </c>
      <c r="D138" s="707">
        <f t="shared" si="4"/>
        <v>1</v>
      </c>
      <c r="F138" s="707" t="str">
        <f t="array" ref="F138">IFERROR(_xlfn.IFS(D138=0,"",D138=1,C138,TRUE,E138),"")</f>
        <v>Percentage of VISITORS by LOCAL BUS ELECTRIC or on BIOFUEL</v>
      </c>
      <c r="G138" s="707" t="s">
        <v>568</v>
      </c>
      <c r="I138" s="772" t="s">
        <v>156</v>
      </c>
    </row>
    <row r="139" spans="3:9" ht="15.75" customHeight="1">
      <c r="C139" s="760" t="s">
        <v>233</v>
      </c>
      <c r="D139" s="707">
        <f t="shared" si="4"/>
        <v>1</v>
      </c>
      <c r="F139" s="707" t="str">
        <f t="array" ref="F139">IFERROR(_xlfn.IFS(D139=0,"",D139=1,C139,TRUE,E139),"")</f>
        <v>Average distance VISITORS by LOCAL BUS ELECTRIC or BIOFUEL (one-way)</v>
      </c>
      <c r="G139" s="707" t="s">
        <v>568</v>
      </c>
      <c r="I139" s="772" t="s">
        <v>224</v>
      </c>
    </row>
    <row r="140" spans="3:9" ht="18.75" customHeight="1">
      <c r="C140" s="774"/>
      <c r="D140" s="707">
        <f t="shared" si="4"/>
        <v>0</v>
      </c>
      <c r="F140" s="707" t="str">
        <f t="array" ref="F140">IFERROR(_xlfn.IFS(D140=0,"",D140=1,C140,TRUE,E140),"")</f>
        <v/>
      </c>
      <c r="G140" s="707" t="s">
        <v>568</v>
      </c>
      <c r="I140" s="775"/>
    </row>
    <row r="141" spans="3:9" ht="15.75" customHeight="1">
      <c r="C141" s="760" t="s">
        <v>234</v>
      </c>
      <c r="D141" s="707">
        <f t="shared" si="4"/>
        <v>1</v>
      </c>
      <c r="F141" s="707" t="str">
        <f t="array" ref="F141">IFERROR(_xlfn.IFS(D141=0,"",D141=1,C141,TRUE,E141),"")</f>
        <v>Percentage of VISITORS by CAR or TAXI on FOSSIL FUEL</v>
      </c>
      <c r="G141" s="707" t="s">
        <v>568</v>
      </c>
      <c r="I141" s="771" t="s">
        <v>156</v>
      </c>
    </row>
    <row r="142" spans="3:9" ht="15.75" customHeight="1">
      <c r="C142" s="760" t="s">
        <v>236</v>
      </c>
      <c r="D142" s="707">
        <f t="shared" si="4"/>
        <v>1</v>
      </c>
      <c r="F142" s="707" t="str">
        <f t="array" ref="F142">IFERROR(_xlfn.IFS(D142=0,"",D142=1,C142,TRUE,E142),"")</f>
        <v>Average distance VISITORS by CAR or TAXI on FOSSIL FUEL (one-way)</v>
      </c>
      <c r="G142" s="707" t="s">
        <v>568</v>
      </c>
      <c r="I142" s="772" t="s">
        <v>224</v>
      </c>
    </row>
    <row r="143" spans="3:9" ht="15.75" customHeight="1">
      <c r="C143" s="760" t="s">
        <v>237</v>
      </c>
      <c r="D143" s="707">
        <f t="shared" si="4"/>
        <v>2</v>
      </c>
      <c r="E143" s="707" t="s">
        <v>576</v>
      </c>
      <c r="F143" s="707" t="str">
        <f t="array" ref="F143">IFERROR(_xlfn.IFS(D143=0,"",D143=1,C143,TRUE,E143),"")</f>
        <v>Average number of visitors per car or taxi fossil fuel</v>
      </c>
      <c r="G143" s="707" t="s">
        <v>568</v>
      </c>
      <c r="I143" s="772" t="s">
        <v>238</v>
      </c>
    </row>
    <row r="144" spans="3:9" ht="15.75" customHeight="1">
      <c r="C144" s="773"/>
      <c r="D144" s="707">
        <f t="shared" si="4"/>
        <v>0</v>
      </c>
      <c r="F144" s="707" t="str">
        <f t="array" ref="F144">IFERROR(_xlfn.IFS(D144=0,"",D144=1,C144,TRUE,E144),"")</f>
        <v/>
      </c>
      <c r="G144" s="707" t="s">
        <v>568</v>
      </c>
      <c r="I144" s="773"/>
    </row>
    <row r="145" spans="3:9" ht="15.75" customHeight="1">
      <c r="C145" s="760" t="s">
        <v>239</v>
      </c>
      <c r="D145" s="707">
        <f t="shared" si="4"/>
        <v>1</v>
      </c>
      <c r="F145" s="707" t="str">
        <f t="array" ref="F145">IFERROR(_xlfn.IFS(D145=0,"",D145=1,C145,TRUE,E145),"")</f>
        <v xml:space="preserve">Percentage VISITORS by ELECTRIC OR BIOFUEL CAR or TAXI </v>
      </c>
      <c r="G145" s="707" t="s">
        <v>568</v>
      </c>
      <c r="I145" s="771" t="s">
        <v>156</v>
      </c>
    </row>
    <row r="146" spans="3:9" ht="15.75" customHeight="1">
      <c r="C146" s="760" t="s">
        <v>241</v>
      </c>
      <c r="D146" s="707">
        <f t="shared" si="4"/>
        <v>1</v>
      </c>
      <c r="F146" s="707" t="str">
        <f t="array" ref="F146">IFERROR(_xlfn.IFS(D146=0,"",D146=1,C146,TRUE,E146),"")</f>
        <v>Average distance VISITORS by ELECTRIC OR BIOFUEL CAR or TAXI (one-way)</v>
      </c>
      <c r="G146" s="707" t="s">
        <v>568</v>
      </c>
      <c r="I146" s="772" t="s">
        <v>224</v>
      </c>
    </row>
    <row r="147" spans="3:9" ht="15.75" customHeight="1">
      <c r="C147" s="760" t="s">
        <v>237</v>
      </c>
      <c r="D147" s="707">
        <f t="shared" si="4"/>
        <v>2</v>
      </c>
      <c r="E147" s="707" t="s">
        <v>577</v>
      </c>
      <c r="F147" s="707" t="str">
        <f t="array" ref="F147">IFERROR(_xlfn.IFS(D147=0,"",D147=1,C147,TRUE,E147),"")</f>
        <v>Average number of visitors per car or taxi ZE</v>
      </c>
      <c r="G147" s="707" t="s">
        <v>568</v>
      </c>
      <c r="I147" s="772" t="s">
        <v>238</v>
      </c>
    </row>
    <row r="148" spans="3:9" ht="15.75" customHeight="1">
      <c r="C148" s="776"/>
      <c r="D148" s="707">
        <f t="shared" si="4"/>
        <v>0</v>
      </c>
      <c r="F148" s="707" t="str">
        <f t="array" ref="F148">IFERROR(_xlfn.IFS(D148=0,"",D148=1,C148,TRUE,E148),"")</f>
        <v/>
      </c>
      <c r="G148" s="707" t="s">
        <v>568</v>
      </c>
      <c r="I148" s="776"/>
    </row>
    <row r="149" spans="3:9" ht="15.75" customHeight="1">
      <c r="C149" s="760" t="s">
        <v>242</v>
      </c>
      <c r="D149" s="707">
        <f t="shared" si="4"/>
        <v>1</v>
      </c>
      <c r="F149" s="707" t="str">
        <f t="array" ref="F149">IFERROR(_xlfn.IFS(D149=0,"",D149=1,C149,TRUE,E149),"")</f>
        <v>Percentage VISITORS by (festival) COACH on FOSSIL FUEL</v>
      </c>
      <c r="G149" s="707" t="s">
        <v>568</v>
      </c>
      <c r="I149" s="771" t="s">
        <v>156</v>
      </c>
    </row>
    <row r="150" spans="3:9" ht="15.75" customHeight="1">
      <c r="C150" s="760" t="s">
        <v>244</v>
      </c>
      <c r="D150" s="707">
        <f t="shared" si="4"/>
        <v>1</v>
      </c>
      <c r="F150" s="707" t="str">
        <f t="array" ref="F150">IFERROR(_xlfn.IFS(D150=0,"",D150=1,C150,TRUE,E150),"")</f>
        <v>Average distance VISITORS by (festival) COACH on FOSSIL FUEL (one-way)</v>
      </c>
      <c r="G150" s="707" t="s">
        <v>568</v>
      </c>
      <c r="I150" s="772" t="s">
        <v>224</v>
      </c>
    </row>
    <row r="151" spans="3:9" ht="15.75" customHeight="1">
      <c r="C151" s="776"/>
      <c r="D151" s="707">
        <f t="shared" si="4"/>
        <v>0</v>
      </c>
      <c r="F151" s="707" t="str">
        <f t="array" ref="F151">IFERROR(_xlfn.IFS(D151=0,"",D151=1,C151,TRUE,E151),"")</f>
        <v/>
      </c>
      <c r="G151" s="707" t="s">
        <v>568</v>
      </c>
      <c r="I151" s="776"/>
    </row>
    <row r="152" spans="3:9" ht="15.75" customHeight="1">
      <c r="C152" s="760" t="s">
        <v>245</v>
      </c>
      <c r="D152" s="707">
        <f t="shared" si="4"/>
        <v>1</v>
      </c>
      <c r="F152" s="707" t="str">
        <f t="array" ref="F152">IFERROR(_xlfn.IFS(D152=0,"",D152=1,C152,TRUE,E152),"")</f>
        <v>Percentage of VISITORS by (festival) COACH ELECTRIC or BIOFUEL</v>
      </c>
      <c r="G152" s="707" t="s">
        <v>568</v>
      </c>
      <c r="I152" s="771" t="s">
        <v>156</v>
      </c>
    </row>
    <row r="153" spans="3:9" ht="15.75" customHeight="1">
      <c r="C153" s="760" t="s">
        <v>247</v>
      </c>
      <c r="D153" s="707">
        <f t="shared" si="4"/>
        <v>1</v>
      </c>
      <c r="F153" s="707" t="str">
        <f t="array" ref="F153">IFERROR(_xlfn.IFS(D153=0,"",D153=1,C153,TRUE,E153),"")</f>
        <v>Average distance VISITORS by (festival) COACH ELECTRIC or BIOFUEL (one-way)</v>
      </c>
      <c r="G153" s="707" t="s">
        <v>568</v>
      </c>
      <c r="I153" s="772" t="s">
        <v>224</v>
      </c>
    </row>
    <row r="154" spans="3:9" ht="15.75" customHeight="1">
      <c r="C154" s="776"/>
      <c r="D154" s="707">
        <f t="shared" si="4"/>
        <v>0</v>
      </c>
      <c r="F154" s="707" t="str">
        <f t="array" ref="F154">IFERROR(_xlfn.IFS(D154=0,"",D154=1,C154,TRUE,E154),"")</f>
        <v/>
      </c>
      <c r="G154" s="707" t="s">
        <v>568</v>
      </c>
      <c r="I154" s="776"/>
    </row>
    <row r="155" spans="3:9" ht="15.75" customHeight="1">
      <c r="C155" s="760" t="s">
        <v>248</v>
      </c>
      <c r="D155" s="707">
        <f t="shared" si="4"/>
        <v>1</v>
      </c>
      <c r="F155" s="707" t="str">
        <f t="array" ref="F155">IFERROR(_xlfn.IFS(D155=0,"",D155=1,C155,TRUE,E155),"")</f>
        <v>Percentage VISITORS by TRAIN</v>
      </c>
      <c r="G155" s="707" t="s">
        <v>568</v>
      </c>
      <c r="I155" s="771" t="s">
        <v>156</v>
      </c>
    </row>
    <row r="156" spans="3:9" ht="15.75" customHeight="1">
      <c r="C156" s="760" t="s">
        <v>250</v>
      </c>
      <c r="D156" s="707">
        <f t="shared" si="4"/>
        <v>1</v>
      </c>
      <c r="F156" s="707" t="str">
        <f t="array" ref="F156">IFERROR(_xlfn.IFS(D156=0,"",D156=1,C156,TRUE,E156),"")</f>
        <v>Average distance VISITORS by TRAIN (one-way)</v>
      </c>
      <c r="G156" s="707" t="s">
        <v>568</v>
      </c>
      <c r="I156" s="772" t="s">
        <v>224</v>
      </c>
    </row>
    <row r="157" spans="3:9" ht="18.75" customHeight="1">
      <c r="C157" s="774"/>
      <c r="D157" s="707">
        <f t="shared" si="4"/>
        <v>0</v>
      </c>
      <c r="F157" s="707" t="str">
        <f t="array" ref="F157">IFERROR(_xlfn.IFS(D157=0,"",D157=1,C157,TRUE,E157),"")</f>
        <v/>
      </c>
      <c r="G157" s="707" t="s">
        <v>568</v>
      </c>
      <c r="I157" s="775"/>
    </row>
    <row r="158" spans="3:9" ht="15.75" customHeight="1">
      <c r="C158" s="760" t="s">
        <v>251</v>
      </c>
      <c r="D158" s="707">
        <f t="shared" si="4"/>
        <v>1</v>
      </c>
      <c r="F158" s="707" t="str">
        <f t="array" ref="F158">IFERROR(_xlfn.IFS(D158=0,"",D158=1,C158,TRUE,E158),"")</f>
        <v>Percentage of VISITORS by AIRPLANE</v>
      </c>
      <c r="G158" s="707" t="s">
        <v>568</v>
      </c>
      <c r="I158" s="771" t="s">
        <v>156</v>
      </c>
    </row>
    <row r="159" spans="3:9" ht="15.75" customHeight="1">
      <c r="C159" s="761" t="s">
        <v>253</v>
      </c>
      <c r="D159" s="707">
        <f t="shared" si="4"/>
        <v>1</v>
      </c>
      <c r="F159" s="707" t="str">
        <f t="array" ref="F159">IFERROR(_xlfn.IFS(D159=0,"",D159=1,C159,TRUE,E159),"")</f>
        <v>Average distance VISITORS by AIRPLANE (one-way)</v>
      </c>
      <c r="G159" s="707" t="s">
        <v>568</v>
      </c>
      <c r="I159" s="777" t="s">
        <v>224</v>
      </c>
    </row>
    <row r="160" spans="3:9" ht="18" customHeight="1">
      <c r="C160" s="769"/>
      <c r="D160" s="707">
        <f t="shared" si="4"/>
        <v>0</v>
      </c>
      <c r="F160" s="707" t="str">
        <f t="array" ref="F160">IFERROR(_xlfn.IFS(D160=0,"",D160=1,C160,TRUE,E160),"")</f>
        <v/>
      </c>
      <c r="G160" s="707" t="s">
        <v>568</v>
      </c>
      <c r="I160" s="770"/>
    </row>
    <row r="161" spans="3:9" ht="15.75" customHeight="1">
      <c r="C161" s="778" t="s">
        <v>255</v>
      </c>
      <c r="D161" s="707">
        <f t="shared" si="4"/>
        <v>1</v>
      </c>
      <c r="F161" s="707" t="str">
        <f t="array" ref="F161">IFERROR(_xlfn.IFS(D161=0,"",D161=1,C161,TRUE,E161),"")</f>
        <v>Number VISITORS by SHIP/FERRY</v>
      </c>
      <c r="G161" s="707" t="s">
        <v>568</v>
      </c>
      <c r="I161" s="725" t="s">
        <v>238</v>
      </c>
    </row>
    <row r="162" spans="3:9" ht="15.75" customHeight="1">
      <c r="C162" s="779" t="s">
        <v>257</v>
      </c>
      <c r="D162" s="707">
        <f t="shared" si="4"/>
        <v>1</v>
      </c>
      <c r="F162" s="707" t="str">
        <f t="array" ref="F162">IFERROR(_xlfn.IFS(D162=0,"",D162=1,C162,TRUE,E162),"")</f>
        <v>Average distance VISITORS by SHIP/FERRY (one-way)</v>
      </c>
      <c r="G162" s="707" t="s">
        <v>568</v>
      </c>
      <c r="I162" s="772" t="s">
        <v>224</v>
      </c>
    </row>
    <row r="163" spans="3:9" ht="15.75" customHeight="1">
      <c r="C163" s="779" t="s">
        <v>259</v>
      </c>
      <c r="D163" s="707">
        <f t="shared" si="4"/>
        <v>1</v>
      </c>
      <c r="F163" s="707" t="str">
        <f t="array" ref="F163">IFERROR(_xlfn.IFS(D163=0,"",D163=1,C163,TRUE,E163),"")</f>
        <v>Percentage VISITORS by SAILING, ELECTRIC or BIOFUEL SHIP/FERRY</v>
      </c>
      <c r="G163" s="707" t="s">
        <v>568</v>
      </c>
      <c r="I163" s="772" t="s">
        <v>156</v>
      </c>
    </row>
    <row r="164" spans="3:9" ht="15.75" customHeight="1">
      <c r="C164" s="780"/>
      <c r="D164" s="707">
        <f t="shared" si="4"/>
        <v>0</v>
      </c>
      <c r="F164" s="707" t="str">
        <f t="array" ref="F164">IFERROR(_xlfn.IFS(D164=0,"",D164=1,C164,TRUE,E164),"")</f>
        <v/>
      </c>
      <c r="G164" s="707" t="s">
        <v>568</v>
      </c>
      <c r="I164" s="720"/>
    </row>
    <row r="165" spans="3:9" ht="15.75" customHeight="1">
      <c r="C165" s="779" t="s">
        <v>261</v>
      </c>
      <c r="D165" s="707">
        <f t="shared" si="4"/>
        <v>1</v>
      </c>
      <c r="F165" s="707" t="str">
        <f t="array" ref="F165">IFERROR(_xlfn.IFS(D165=0,"",D165=1,C165,TRUE,E165),"")</f>
        <v>Number VISITORS by SHUTTLE</v>
      </c>
      <c r="G165" s="707" t="s">
        <v>568</v>
      </c>
      <c r="I165" s="772" t="s">
        <v>238</v>
      </c>
    </row>
    <row r="166" spans="3:9" ht="15.75" customHeight="1">
      <c r="C166" s="779" t="s">
        <v>263</v>
      </c>
      <c r="D166" s="707">
        <f t="shared" si="4"/>
        <v>1</v>
      </c>
      <c r="F166" s="707" t="str">
        <f t="array" ref="F166">IFERROR(_xlfn.IFS(D166=0,"",D166=1,C166,TRUE,E166),"")</f>
        <v>Average distance VISITORS by SHUTTLE (one-way)</v>
      </c>
      <c r="G166" s="707" t="s">
        <v>568</v>
      </c>
      <c r="I166" s="772" t="s">
        <v>578</v>
      </c>
    </row>
    <row r="167" spans="3:9" ht="15.75" customHeight="1">
      <c r="C167" s="781" t="s">
        <v>265</v>
      </c>
      <c r="D167" s="707">
        <f t="shared" si="4"/>
        <v>1</v>
      </c>
      <c r="F167" s="707" t="str">
        <f t="array" ref="F167">IFERROR(_xlfn.IFS(D167=0,"",D167=1,C167,TRUE,E167),"")</f>
        <v>Percentage VISITORS by ELECTRIC or BIOFUEL SHUTTLE</v>
      </c>
      <c r="G167" s="707" t="s">
        <v>568</v>
      </c>
      <c r="I167" s="777" t="s">
        <v>156</v>
      </c>
    </row>
    <row r="168" spans="3:9" ht="20.25" customHeight="1">
      <c r="C168" s="767"/>
      <c r="D168" s="707">
        <f t="shared" si="4"/>
        <v>0</v>
      </c>
      <c r="F168" s="707" t="str">
        <f t="array" ref="F168">IFERROR(_xlfn.IFS(D168=0,"",D168=1,C168,TRUE,E168),"")</f>
        <v/>
      </c>
      <c r="G168" s="707" t="s">
        <v>568</v>
      </c>
      <c r="I168" s="768"/>
    </row>
    <row r="169" spans="3:9" ht="18.75" customHeight="1">
      <c r="C169" s="774"/>
      <c r="D169" s="707">
        <f t="shared" si="4"/>
        <v>0</v>
      </c>
      <c r="F169" s="707" t="str">
        <f t="array" ref="F169">IFERROR(_xlfn.IFS(D169=0,"",D169=1,C169,TRUE,E169),"")</f>
        <v/>
      </c>
      <c r="G169" s="707" t="s">
        <v>568</v>
      </c>
      <c r="I169" s="775"/>
    </row>
    <row r="170" spans="3:9" ht="15.75" customHeight="1">
      <c r="C170" s="760" t="s">
        <v>269</v>
      </c>
      <c r="D170" s="707">
        <f t="shared" si="4"/>
        <v>1</v>
      </c>
      <c r="F170" s="707" t="str">
        <f t="array" ref="F170">IFERROR(_xlfn.IFS(D170=0,"",D170=1,C170,TRUE,E170),"")</f>
        <v xml:space="preserve">Percentage of ARTISTS on FOOT or BICYCLE </v>
      </c>
      <c r="G170" s="707" t="s">
        <v>568</v>
      </c>
      <c r="I170" s="771" t="s">
        <v>156</v>
      </c>
    </row>
    <row r="171" spans="3:9" ht="15.75" customHeight="1">
      <c r="C171" s="760" t="s">
        <v>271</v>
      </c>
      <c r="D171" s="707">
        <f t="shared" si="4"/>
        <v>1</v>
      </c>
      <c r="F171" s="707" t="str">
        <f t="array" ref="F171">IFERROR(_xlfn.IFS(D171=0,"",D171=1,C171,TRUE,E171),"")</f>
        <v>Average distance ARTISTS on FOOT or BICYCLE (one-way)</v>
      </c>
      <c r="G171" s="707" t="s">
        <v>568</v>
      </c>
      <c r="I171" s="772" t="s">
        <v>224</v>
      </c>
    </row>
    <row r="172" spans="3:9" ht="15.75" customHeight="1">
      <c r="C172" s="773"/>
      <c r="D172" s="707">
        <f t="shared" si="4"/>
        <v>0</v>
      </c>
      <c r="F172" s="707" t="str">
        <f t="array" ref="F172">IFERROR(_xlfn.IFS(D172=0,"",D172=1,C172,TRUE,E172),"")</f>
        <v/>
      </c>
      <c r="G172" s="707" t="s">
        <v>568</v>
      </c>
      <c r="I172" s="780"/>
    </row>
    <row r="173" spans="3:9" ht="15.75" customHeight="1">
      <c r="C173" s="760" t="s">
        <v>272</v>
      </c>
      <c r="D173" s="707">
        <f t="shared" si="4"/>
        <v>1</v>
      </c>
      <c r="F173" s="707" t="str">
        <f t="array" ref="F173">IFERROR(_xlfn.IFS(D173=0,"",D173=1,C173,TRUE,E173),"")</f>
        <v>Percentage of ARTISTS by METRO or TRAM</v>
      </c>
      <c r="G173" s="707" t="s">
        <v>568</v>
      </c>
      <c r="I173" s="771" t="s">
        <v>156</v>
      </c>
    </row>
    <row r="174" spans="3:9" ht="15.75" customHeight="1">
      <c r="C174" s="760" t="s">
        <v>274</v>
      </c>
      <c r="D174" s="707">
        <f t="shared" si="4"/>
        <v>1</v>
      </c>
      <c r="F174" s="707" t="str">
        <f t="array" ref="F174">IFERROR(_xlfn.IFS(D174=0,"",D174=1,C174,TRUE,E174),"")</f>
        <v>Average distance ARTISTS by METRO or TRAM (one-way)</v>
      </c>
      <c r="G174" s="707" t="s">
        <v>568</v>
      </c>
      <c r="I174" s="772" t="s">
        <v>224</v>
      </c>
    </row>
    <row r="175" spans="3:9" ht="15.75" customHeight="1">
      <c r="C175" s="773"/>
      <c r="D175" s="707">
        <f t="shared" si="4"/>
        <v>0</v>
      </c>
      <c r="F175" s="707" t="str">
        <f t="array" ref="F175">IFERROR(_xlfn.IFS(D175=0,"",D175=1,C175,TRUE,E175),"")</f>
        <v/>
      </c>
      <c r="G175" s="707" t="s">
        <v>568</v>
      </c>
      <c r="I175" s="780"/>
    </row>
    <row r="176" spans="3:9" ht="15.75" customHeight="1">
      <c r="C176" s="760" t="s">
        <v>275</v>
      </c>
      <c r="D176" s="707">
        <f t="shared" si="4"/>
        <v>1</v>
      </c>
      <c r="F176" s="707" t="str">
        <f t="array" ref="F176">IFERROR(_xlfn.IFS(D176=0,"",D176=1,C176,TRUE,E176),"")</f>
        <v>Percentage of ARTISTS by LOCAL BUS on FOSSIL FUEL</v>
      </c>
      <c r="G176" s="707" t="s">
        <v>568</v>
      </c>
      <c r="I176" s="771" t="s">
        <v>156</v>
      </c>
    </row>
    <row r="177" spans="3:9" ht="15.75" customHeight="1">
      <c r="C177" s="760" t="s">
        <v>277</v>
      </c>
      <c r="D177" s="707">
        <f t="shared" si="4"/>
        <v>1</v>
      </c>
      <c r="F177" s="707" t="str">
        <f t="array" ref="F177">IFERROR(_xlfn.IFS(D177=0,"",D177=1,C177,TRUE,E177),"")</f>
        <v>Average distance ARTISTS by LOCAL BUS ON FOSSIL FUEL (one-way)</v>
      </c>
      <c r="G177" s="707" t="s">
        <v>568</v>
      </c>
      <c r="I177" s="772" t="s">
        <v>224</v>
      </c>
    </row>
    <row r="178" spans="3:9" ht="15.75" customHeight="1">
      <c r="C178" s="773"/>
      <c r="D178" s="707">
        <f t="shared" si="4"/>
        <v>0</v>
      </c>
      <c r="F178" s="707" t="str">
        <f t="array" ref="F178">IFERROR(_xlfn.IFS(D178=0,"",D178=1,C178,TRUE,E178),"")</f>
        <v/>
      </c>
      <c r="G178" s="707" t="s">
        <v>568</v>
      </c>
      <c r="I178" s="780"/>
    </row>
    <row r="179" spans="3:9" ht="15.75" customHeight="1">
      <c r="C179" s="760" t="s">
        <v>278</v>
      </c>
      <c r="D179" s="707">
        <f t="shared" si="4"/>
        <v>1</v>
      </c>
      <c r="F179" s="707" t="str">
        <f t="array" ref="F179">IFERROR(_xlfn.IFS(D179=0,"",D179=1,C179,TRUE,E179),"")</f>
        <v>Percentage of ARTISTS by LOCAL BUS ELECTRIC or on BIOFUEL</v>
      </c>
      <c r="G179" s="707" t="s">
        <v>568</v>
      </c>
      <c r="I179" s="771" t="s">
        <v>156</v>
      </c>
    </row>
    <row r="180" spans="3:9" ht="15.75" customHeight="1">
      <c r="C180" s="760" t="s">
        <v>280</v>
      </c>
      <c r="D180" s="707">
        <f t="shared" si="4"/>
        <v>1</v>
      </c>
      <c r="F180" s="707" t="str">
        <f t="array" ref="F180">IFERROR(_xlfn.IFS(D180=0,"",D180=1,C180,TRUE,E180),"")</f>
        <v>Average distance ARTISTS by LOCAL BUS ELECTRIC or BIOFUEL (one-way)</v>
      </c>
      <c r="G180" s="707" t="s">
        <v>568</v>
      </c>
      <c r="I180" s="772" t="s">
        <v>224</v>
      </c>
    </row>
    <row r="181" spans="3:9" ht="18.75" customHeight="1">
      <c r="C181" s="774"/>
      <c r="D181" s="707">
        <f t="shared" si="4"/>
        <v>0</v>
      </c>
      <c r="F181" s="707" t="str">
        <f t="array" ref="F181">IFERROR(_xlfn.IFS(D181=0,"",D181=1,C181,TRUE,E181),"")</f>
        <v/>
      </c>
      <c r="G181" s="707" t="s">
        <v>568</v>
      </c>
      <c r="I181" s="775"/>
    </row>
    <row r="182" spans="3:9" ht="15.75" customHeight="1">
      <c r="C182" s="760" t="s">
        <v>281</v>
      </c>
      <c r="D182" s="707">
        <f t="shared" si="4"/>
        <v>1</v>
      </c>
      <c r="F182" s="707" t="str">
        <f t="array" ref="F182">IFERROR(_xlfn.IFS(D182=0,"",D182=1,C182,TRUE,E182),"")</f>
        <v>Percentage of ARTISTS by CAR or TAXI on FOSSIL FUEL</v>
      </c>
      <c r="G182" s="707" t="s">
        <v>568</v>
      </c>
      <c r="I182" s="771" t="s">
        <v>156</v>
      </c>
    </row>
    <row r="183" spans="3:9" ht="15.75" customHeight="1">
      <c r="C183" s="760" t="s">
        <v>283</v>
      </c>
      <c r="D183" s="707">
        <f t="shared" si="4"/>
        <v>1</v>
      </c>
      <c r="F183" s="707" t="str">
        <f t="array" ref="F183">IFERROR(_xlfn.IFS(D183=0,"",D183=1,C183,TRUE,E183),"")</f>
        <v>Average distance ARTISTS by CAR or TAXI on FOSSIL FUEL (one-way)</v>
      </c>
      <c r="G183" s="707" t="s">
        <v>568</v>
      </c>
      <c r="I183" s="772" t="s">
        <v>224</v>
      </c>
    </row>
    <row r="184" spans="3:9" ht="15.75" customHeight="1">
      <c r="C184" s="760" t="s">
        <v>284</v>
      </c>
      <c r="D184" s="707">
        <f t="shared" si="4"/>
        <v>2</v>
      </c>
      <c r="E184" s="707" t="s">
        <v>579</v>
      </c>
      <c r="F184" s="707" t="str">
        <f t="array" ref="F184">IFERROR(_xlfn.IFS(D184=0,"",D184=1,C184,TRUE,E184),"")</f>
        <v>Average number of artists per car or taxi fossil fuel</v>
      </c>
      <c r="G184" s="707" t="s">
        <v>568</v>
      </c>
      <c r="I184" s="772" t="s">
        <v>238</v>
      </c>
    </row>
    <row r="185" spans="3:9" ht="15.75" customHeight="1">
      <c r="C185" s="773"/>
      <c r="D185" s="707">
        <f t="shared" si="4"/>
        <v>0</v>
      </c>
      <c r="F185" s="707" t="str">
        <f t="array" ref="F185">IFERROR(_xlfn.IFS(D185=0,"",D185=1,C185,TRUE,E185),"")</f>
        <v/>
      </c>
      <c r="G185" s="707" t="s">
        <v>568</v>
      </c>
      <c r="I185" s="780"/>
    </row>
    <row r="186" spans="3:9" ht="15.75" customHeight="1">
      <c r="C186" s="760" t="s">
        <v>285</v>
      </c>
      <c r="D186" s="707">
        <f t="shared" ref="D186:D249" si="5">COUNTIFS(C:C,C186)</f>
        <v>1</v>
      </c>
      <c r="F186" s="707" t="str">
        <f t="array" ref="F186">IFERROR(_xlfn.IFS(D186=0,"",D186=1,C186,TRUE,E186),"")</f>
        <v xml:space="preserve">Percentage ARTISTS by ELECTRIC OR BIOFUEL CAR or TAXI </v>
      </c>
      <c r="G186" s="707" t="s">
        <v>568</v>
      </c>
      <c r="I186" s="771" t="s">
        <v>156</v>
      </c>
    </row>
    <row r="187" spans="3:9" ht="15.75" customHeight="1">
      <c r="C187" s="760" t="s">
        <v>287</v>
      </c>
      <c r="D187" s="707">
        <f t="shared" si="5"/>
        <v>1</v>
      </c>
      <c r="F187" s="707" t="str">
        <f t="array" ref="F187">IFERROR(_xlfn.IFS(D187=0,"",D187=1,C187,TRUE,E187),"")</f>
        <v>Average distance ARTISTS by ELECTRIC OR BIOFUEL CAR or TAXI (one-way)</v>
      </c>
      <c r="G187" s="707" t="s">
        <v>568</v>
      </c>
      <c r="I187" s="772" t="s">
        <v>224</v>
      </c>
    </row>
    <row r="188" spans="3:9" ht="15.75" customHeight="1">
      <c r="C188" s="760" t="s">
        <v>284</v>
      </c>
      <c r="D188" s="707">
        <f t="shared" si="5"/>
        <v>2</v>
      </c>
      <c r="E188" s="707" t="s">
        <v>580</v>
      </c>
      <c r="F188" s="707" t="str">
        <f t="array" ref="F188">IFERROR(_xlfn.IFS(D188=0,"",D188=1,C188,TRUE,E188),"")</f>
        <v>Average number of artists per car or taxi ZE</v>
      </c>
      <c r="G188" s="707" t="s">
        <v>568</v>
      </c>
      <c r="I188" s="772" t="s">
        <v>238</v>
      </c>
    </row>
    <row r="189" spans="3:9" ht="15.75" customHeight="1">
      <c r="C189" s="776"/>
      <c r="D189" s="707">
        <f t="shared" si="5"/>
        <v>0</v>
      </c>
      <c r="F189" s="707" t="str">
        <f t="array" ref="F189">IFERROR(_xlfn.IFS(D189=0,"",D189=1,C189,TRUE,E189),"")</f>
        <v/>
      </c>
      <c r="G189" s="707" t="s">
        <v>568</v>
      </c>
      <c r="I189" s="720"/>
    </row>
    <row r="190" spans="3:9" ht="15.75" customHeight="1">
      <c r="C190" s="760" t="s">
        <v>288</v>
      </c>
      <c r="D190" s="707">
        <f t="shared" si="5"/>
        <v>1</v>
      </c>
      <c r="F190" s="707" t="str">
        <f t="array" ref="F190">IFERROR(_xlfn.IFS(D190=0,"",D190=1,C190,TRUE,E190),"")</f>
        <v>Percentage ARTISTS by (festival) COACH on FOSSIL FUEL</v>
      </c>
      <c r="G190" s="707" t="s">
        <v>568</v>
      </c>
      <c r="I190" s="771" t="s">
        <v>156</v>
      </c>
    </row>
    <row r="191" spans="3:9" ht="15.75" customHeight="1">
      <c r="C191" s="760" t="s">
        <v>290</v>
      </c>
      <c r="D191" s="707">
        <f t="shared" si="5"/>
        <v>1</v>
      </c>
      <c r="F191" s="707" t="str">
        <f t="array" ref="F191">IFERROR(_xlfn.IFS(D191=0,"",D191=1,C191,TRUE,E191),"")</f>
        <v>Average distance ARTISTS by (festival) COACH on FOSSIL FUEL (one-way)</v>
      </c>
      <c r="G191" s="707" t="s">
        <v>568</v>
      </c>
      <c r="I191" s="772" t="s">
        <v>224</v>
      </c>
    </row>
    <row r="192" spans="3:9" ht="15.75" customHeight="1">
      <c r="C192" s="776"/>
      <c r="D192" s="707">
        <f t="shared" si="5"/>
        <v>0</v>
      </c>
      <c r="F192" s="707" t="str">
        <f t="array" ref="F192">IFERROR(_xlfn.IFS(D192=0,"",D192=1,C192,TRUE,E192),"")</f>
        <v/>
      </c>
      <c r="G192" s="707" t="s">
        <v>568</v>
      </c>
      <c r="I192" s="720"/>
    </row>
    <row r="193" spans="3:9" ht="15.75" customHeight="1">
      <c r="C193" s="760" t="s">
        <v>291</v>
      </c>
      <c r="D193" s="707">
        <f t="shared" si="5"/>
        <v>1</v>
      </c>
      <c r="F193" s="707" t="str">
        <f t="array" ref="F193">IFERROR(_xlfn.IFS(D193=0,"",D193=1,C193,TRUE,E193),"")</f>
        <v>Percentage of ARTISTS by (festival) COACH ELECTRIC or BIOFUEL</v>
      </c>
      <c r="G193" s="707" t="s">
        <v>568</v>
      </c>
      <c r="I193" s="771" t="s">
        <v>156</v>
      </c>
    </row>
    <row r="194" spans="3:9" ht="15.75" customHeight="1">
      <c r="C194" s="760" t="s">
        <v>293</v>
      </c>
      <c r="D194" s="707">
        <f t="shared" si="5"/>
        <v>1</v>
      </c>
      <c r="F194" s="707" t="str">
        <f t="array" ref="F194">IFERROR(_xlfn.IFS(D194=0,"",D194=1,C194,TRUE,E194),"")</f>
        <v>Average distance ARTISTS by (festival) COACH ELECTRIC or BIOFUEL (one-way)</v>
      </c>
      <c r="G194" s="707" t="s">
        <v>568</v>
      </c>
      <c r="I194" s="772" t="s">
        <v>224</v>
      </c>
    </row>
    <row r="195" spans="3:9" ht="15.75" customHeight="1">
      <c r="C195" s="776"/>
      <c r="D195" s="707">
        <f t="shared" si="5"/>
        <v>0</v>
      </c>
      <c r="F195" s="707" t="str">
        <f t="array" ref="F195">IFERROR(_xlfn.IFS(D195=0,"",D195=1,C195,TRUE,E195),"")</f>
        <v/>
      </c>
      <c r="G195" s="707" t="s">
        <v>568</v>
      </c>
      <c r="I195" s="720"/>
    </row>
    <row r="196" spans="3:9" ht="15.75" customHeight="1">
      <c r="C196" s="760" t="s">
        <v>294</v>
      </c>
      <c r="D196" s="707">
        <f t="shared" si="5"/>
        <v>1</v>
      </c>
      <c r="F196" s="707" t="str">
        <f t="array" ref="F196">IFERROR(_xlfn.IFS(D196=0,"",D196=1,C196,TRUE,E196),"")</f>
        <v>Percentage ARTISTS by TRAIN</v>
      </c>
      <c r="G196" s="707" t="s">
        <v>568</v>
      </c>
      <c r="I196" s="771" t="s">
        <v>156</v>
      </c>
    </row>
    <row r="197" spans="3:9" ht="15.75" customHeight="1">
      <c r="C197" s="760" t="s">
        <v>296</v>
      </c>
      <c r="D197" s="707">
        <f t="shared" si="5"/>
        <v>1</v>
      </c>
      <c r="F197" s="707" t="str">
        <f t="array" ref="F197">IFERROR(_xlfn.IFS(D197=0,"",D197=1,C197,TRUE,E197),"")</f>
        <v>Average distance ARTISTS by TRAIN (one-way)</v>
      </c>
      <c r="G197" s="707" t="s">
        <v>568</v>
      </c>
      <c r="I197" s="772" t="s">
        <v>224</v>
      </c>
    </row>
    <row r="198" spans="3:9" ht="18.75" customHeight="1">
      <c r="C198" s="774"/>
      <c r="D198" s="707">
        <f t="shared" si="5"/>
        <v>0</v>
      </c>
      <c r="F198" s="707" t="str">
        <f t="array" ref="F198">IFERROR(_xlfn.IFS(D198=0,"",D198=1,C198,TRUE,E198),"")</f>
        <v/>
      </c>
      <c r="G198" s="707" t="s">
        <v>568</v>
      </c>
      <c r="I198" s="782"/>
    </row>
    <row r="199" spans="3:9" ht="15.75" customHeight="1">
      <c r="C199" s="760" t="s">
        <v>297</v>
      </c>
      <c r="D199" s="707">
        <f t="shared" si="5"/>
        <v>1</v>
      </c>
      <c r="F199" s="707" t="str">
        <f t="array" ref="F199">IFERROR(_xlfn.IFS(D199=0,"",D199=1,C199,TRUE,E199),"")</f>
        <v>Percentage of ARTISTS by AIRPLANE</v>
      </c>
      <c r="G199" s="707" t="s">
        <v>568</v>
      </c>
      <c r="I199" s="771" t="s">
        <v>156</v>
      </c>
    </row>
    <row r="200" spans="3:9" ht="15.75" customHeight="1">
      <c r="C200" s="761" t="s">
        <v>299</v>
      </c>
      <c r="D200" s="707">
        <f t="shared" si="5"/>
        <v>1</v>
      </c>
      <c r="F200" s="707" t="str">
        <f t="array" ref="F200">IFERROR(_xlfn.IFS(D200=0,"",D200=1,C200,TRUE,E200),"")</f>
        <v>Average distance ARTISTS by AIRPLANE (one-way)</v>
      </c>
      <c r="G200" s="707" t="s">
        <v>568</v>
      </c>
      <c r="I200" s="777" t="s">
        <v>224</v>
      </c>
    </row>
    <row r="201" spans="3:9" ht="18" customHeight="1">
      <c r="C201" s="769"/>
      <c r="D201" s="707">
        <f t="shared" si="5"/>
        <v>0</v>
      </c>
      <c r="F201" s="707" t="str">
        <f t="array" ref="F201">IFERROR(_xlfn.IFS(D201=0,"",D201=1,C201,TRUE,E201),"")</f>
        <v/>
      </c>
      <c r="G201" s="707" t="s">
        <v>568</v>
      </c>
      <c r="I201" s="770"/>
    </row>
    <row r="202" spans="3:9" ht="15.75" customHeight="1">
      <c r="C202" s="778" t="s">
        <v>301</v>
      </c>
      <c r="D202" s="707">
        <f t="shared" si="5"/>
        <v>1</v>
      </c>
      <c r="F202" s="707" t="str">
        <f t="array" ref="F202">IFERROR(_xlfn.IFS(D202=0,"",D202=1,C202,TRUE,E202),"")</f>
        <v>Number ARTISTS by SHIP/FERRY</v>
      </c>
      <c r="G202" s="707" t="s">
        <v>568</v>
      </c>
      <c r="I202" s="725" t="s">
        <v>238</v>
      </c>
    </row>
    <row r="203" spans="3:9" ht="15.75" customHeight="1">
      <c r="C203" s="779" t="s">
        <v>302</v>
      </c>
      <c r="D203" s="707">
        <f t="shared" si="5"/>
        <v>1</v>
      </c>
      <c r="F203" s="707" t="str">
        <f t="array" ref="F203">IFERROR(_xlfn.IFS(D203=0,"",D203=1,C203,TRUE,E203),"")</f>
        <v>Average distance ARTISTS by SHIP/FERRY (one-way)</v>
      </c>
      <c r="G203" s="707" t="s">
        <v>568</v>
      </c>
      <c r="I203" s="772" t="s">
        <v>224</v>
      </c>
    </row>
    <row r="204" spans="3:9" ht="15.75" customHeight="1">
      <c r="C204" s="779" t="s">
        <v>304</v>
      </c>
      <c r="D204" s="707">
        <f t="shared" si="5"/>
        <v>1</v>
      </c>
      <c r="F204" s="707" t="str">
        <f t="array" ref="F204">IFERROR(_xlfn.IFS(D204=0,"",D204=1,C204,TRUE,E204),"")</f>
        <v>Percentage ARTISTS by SAILING, ELECTRIC or BIOFUEL SHIP/FERRY</v>
      </c>
      <c r="G204" s="707" t="s">
        <v>568</v>
      </c>
      <c r="I204" s="772" t="s">
        <v>156</v>
      </c>
    </row>
    <row r="205" spans="3:9" ht="15.75" customHeight="1">
      <c r="C205" s="780"/>
      <c r="D205" s="707">
        <f t="shared" si="5"/>
        <v>0</v>
      </c>
      <c r="F205" s="707" t="str">
        <f t="array" ref="F205">IFERROR(_xlfn.IFS(D205=0,"",D205=1,C205,TRUE,E205),"")</f>
        <v/>
      </c>
      <c r="G205" s="707" t="s">
        <v>568</v>
      </c>
      <c r="I205" s="720"/>
    </row>
    <row r="206" spans="3:9" ht="15.75" customHeight="1">
      <c r="C206" s="779" t="s">
        <v>305</v>
      </c>
      <c r="D206" s="707">
        <f t="shared" si="5"/>
        <v>1</v>
      </c>
      <c r="F206" s="707" t="str">
        <f t="array" ref="F206">IFERROR(_xlfn.IFS(D206=0,"",D206=1,C206,TRUE,E206),"")</f>
        <v>Number ARTISTS by SHUTTLE</v>
      </c>
      <c r="G206" s="707" t="s">
        <v>568</v>
      </c>
      <c r="I206" s="772" t="s">
        <v>238</v>
      </c>
    </row>
    <row r="207" spans="3:9" ht="15.75" customHeight="1">
      <c r="C207" s="779" t="s">
        <v>306</v>
      </c>
      <c r="D207" s="707">
        <f t="shared" si="5"/>
        <v>1</v>
      </c>
      <c r="F207" s="707" t="str">
        <f t="array" ref="F207">IFERROR(_xlfn.IFS(D207=0,"",D207=1,C207,TRUE,E207),"")</f>
        <v>Average distance ARTISTS by SHUTTLE (one-way)</v>
      </c>
      <c r="G207" s="707" t="s">
        <v>568</v>
      </c>
      <c r="I207" s="772" t="s">
        <v>224</v>
      </c>
    </row>
    <row r="208" spans="3:9" ht="15.75" customHeight="1">
      <c r="C208" s="781" t="s">
        <v>308</v>
      </c>
      <c r="D208" s="707">
        <f t="shared" si="5"/>
        <v>1</v>
      </c>
      <c r="F208" s="707" t="str">
        <f t="array" ref="F208">IFERROR(_xlfn.IFS(D208=0,"",D208=1,C208,TRUE,E208),"")</f>
        <v>Percentage ARTISTS by ELECTRIC or BIOFUEL SHUTTLE</v>
      </c>
      <c r="G208" s="707" t="s">
        <v>568</v>
      </c>
      <c r="I208" s="777" t="s">
        <v>156</v>
      </c>
    </row>
    <row r="209" spans="3:9" ht="20.25" customHeight="1">
      <c r="C209" s="767"/>
      <c r="D209" s="707">
        <f t="shared" si="5"/>
        <v>0</v>
      </c>
      <c r="F209" s="707" t="str">
        <f t="array" ref="F209">IFERROR(_xlfn.IFS(D209=0,"",D209=1,C209,TRUE,E209),"")</f>
        <v/>
      </c>
      <c r="G209" s="707" t="s">
        <v>568</v>
      </c>
      <c r="I209" s="768"/>
    </row>
    <row r="210" spans="3:9" ht="18.75" customHeight="1">
      <c r="C210" s="774"/>
      <c r="D210" s="707">
        <f t="shared" si="5"/>
        <v>0</v>
      </c>
      <c r="F210" s="707" t="str">
        <f t="array" ref="F210">IFERROR(_xlfn.IFS(D210=0,"",D210=1,C210,TRUE,E210),"")</f>
        <v/>
      </c>
      <c r="G210" s="707" t="s">
        <v>568</v>
      </c>
      <c r="I210" s="775"/>
    </row>
    <row r="211" spans="3:9" ht="15.75" customHeight="1">
      <c r="C211" s="760" t="s">
        <v>311</v>
      </c>
      <c r="D211" s="707">
        <f t="shared" si="5"/>
        <v>1</v>
      </c>
      <c r="F211" s="707" t="str">
        <f t="array" ref="F211">IFERROR(_xlfn.IFS(D211=0,"",D211=1,C211,TRUE,E211),"")</f>
        <v xml:space="preserve">Percentage of CREW, VOLUNTEERS and SUPPLIERS on FOOT or BICYCLE </v>
      </c>
      <c r="G211" s="707" t="s">
        <v>568</v>
      </c>
      <c r="I211" s="771" t="s">
        <v>156</v>
      </c>
    </row>
    <row r="212" spans="3:9" ht="15.75" customHeight="1">
      <c r="C212" s="760" t="s">
        <v>313</v>
      </c>
      <c r="D212" s="707">
        <f t="shared" si="5"/>
        <v>1</v>
      </c>
      <c r="F212" s="707" t="str">
        <f t="array" ref="F212">IFERROR(_xlfn.IFS(D212=0,"",D212=1,C212,TRUE,E212),"")</f>
        <v>Average distance CREW, VOLUNTEERS and SUPPLIERS on FOOT or BICYCLE (one-way)</v>
      </c>
      <c r="G212" s="707" t="s">
        <v>568</v>
      </c>
      <c r="I212" s="772" t="s">
        <v>224</v>
      </c>
    </row>
    <row r="213" spans="3:9" ht="15.75" customHeight="1">
      <c r="C213" s="773"/>
      <c r="D213" s="707">
        <f t="shared" si="5"/>
        <v>0</v>
      </c>
      <c r="F213" s="707" t="str">
        <f t="array" ref="F213">IFERROR(_xlfn.IFS(D213=0,"",D213=1,C213,TRUE,E213),"")</f>
        <v/>
      </c>
      <c r="G213" s="707" t="s">
        <v>568</v>
      </c>
      <c r="I213" s="780"/>
    </row>
    <row r="214" spans="3:9" ht="15.75" customHeight="1">
      <c r="C214" s="760" t="s">
        <v>314</v>
      </c>
      <c r="D214" s="707">
        <f t="shared" si="5"/>
        <v>1</v>
      </c>
      <c r="F214" s="707" t="str">
        <f t="array" ref="F214">IFERROR(_xlfn.IFS(D214=0,"",D214=1,C214,TRUE,E214),"")</f>
        <v>Percentage of CREW, VOLUNTEERS and SUPPLIERS by METRO or TRAM</v>
      </c>
      <c r="G214" s="707" t="s">
        <v>568</v>
      </c>
      <c r="I214" s="771" t="s">
        <v>156</v>
      </c>
    </row>
    <row r="215" spans="3:9" ht="15.75" customHeight="1">
      <c r="C215" s="760" t="s">
        <v>316</v>
      </c>
      <c r="D215" s="707">
        <f t="shared" si="5"/>
        <v>1</v>
      </c>
      <c r="F215" s="707" t="str">
        <f t="array" ref="F215">IFERROR(_xlfn.IFS(D215=0,"",D215=1,C215,TRUE,E215),"")</f>
        <v>Average distance CREW, VOLUNTEERS and SUPPLIERS by METRO or TRAM (one-way)</v>
      </c>
      <c r="G215" s="707" t="s">
        <v>568</v>
      </c>
      <c r="I215" s="772" t="s">
        <v>224</v>
      </c>
    </row>
    <row r="216" spans="3:9" ht="15.75" customHeight="1">
      <c r="C216" s="773"/>
      <c r="D216" s="707">
        <f t="shared" si="5"/>
        <v>0</v>
      </c>
      <c r="F216" s="707" t="str">
        <f t="array" ref="F216">IFERROR(_xlfn.IFS(D216=0,"",D216=1,C216,TRUE,E216),"")</f>
        <v/>
      </c>
      <c r="G216" s="707" t="s">
        <v>568</v>
      </c>
      <c r="I216" s="780"/>
    </row>
    <row r="217" spans="3:9" ht="15.75" customHeight="1">
      <c r="C217" s="760" t="s">
        <v>317</v>
      </c>
      <c r="D217" s="707">
        <f t="shared" si="5"/>
        <v>1</v>
      </c>
      <c r="F217" s="707" t="str">
        <f t="array" ref="F217">IFERROR(_xlfn.IFS(D217=0,"",D217=1,C217,TRUE,E217),"")</f>
        <v>Percentage of CREW, VOLUNTEERS and SUPPLIERS by LOCAL BUS on FOSSIL FUEL</v>
      </c>
      <c r="G217" s="707" t="s">
        <v>568</v>
      </c>
      <c r="I217" s="771" t="s">
        <v>156</v>
      </c>
    </row>
    <row r="218" spans="3:9" ht="15.75" customHeight="1">
      <c r="C218" s="760" t="s">
        <v>319</v>
      </c>
      <c r="D218" s="707">
        <f t="shared" si="5"/>
        <v>1</v>
      </c>
      <c r="F218" s="707" t="str">
        <f t="array" ref="F218">IFERROR(_xlfn.IFS(D218=0,"",D218=1,C218,TRUE,E218),"")</f>
        <v>Average distance CREW, VOLUNTEERS and SUPPLIERS by LOCAL BUS ON FOSSIL FUEL (one-way)</v>
      </c>
      <c r="G218" s="707" t="s">
        <v>568</v>
      </c>
      <c r="I218" s="772" t="s">
        <v>224</v>
      </c>
    </row>
    <row r="219" spans="3:9" ht="15.75" customHeight="1">
      <c r="C219" s="773"/>
      <c r="D219" s="707">
        <f t="shared" si="5"/>
        <v>0</v>
      </c>
      <c r="F219" s="707" t="str">
        <f t="array" ref="F219">IFERROR(_xlfn.IFS(D219=0,"",D219=1,C219,TRUE,E219),"")</f>
        <v/>
      </c>
      <c r="G219" s="707" t="s">
        <v>568</v>
      </c>
      <c r="I219" s="780"/>
    </row>
    <row r="220" spans="3:9" ht="15.75" customHeight="1">
      <c r="C220" s="760" t="s">
        <v>320</v>
      </c>
      <c r="D220" s="707">
        <f t="shared" si="5"/>
        <v>1</v>
      </c>
      <c r="F220" s="707" t="str">
        <f t="array" ref="F220">IFERROR(_xlfn.IFS(D220=0,"",D220=1,C220,TRUE,E220),"")</f>
        <v>Percentage of CREW, VOLUNTEERS and SUPPLIERS by LOCAL BUS ELECTRIC or on BIOFUEL</v>
      </c>
      <c r="G220" s="707" t="s">
        <v>568</v>
      </c>
      <c r="I220" s="771" t="s">
        <v>156</v>
      </c>
    </row>
    <row r="221" spans="3:9" ht="15.75" customHeight="1">
      <c r="C221" s="760" t="s">
        <v>322</v>
      </c>
      <c r="D221" s="707">
        <f t="shared" si="5"/>
        <v>1</v>
      </c>
      <c r="F221" s="707" t="str">
        <f t="array" ref="F221">IFERROR(_xlfn.IFS(D221=0,"",D221=1,C221,TRUE,E221),"")</f>
        <v>Average distance CREW, VOLUNTEERS and SUPPLIERS by LOCAL BUS ELECTRIC or BIOFUEL (one-way)</v>
      </c>
      <c r="G221" s="707" t="s">
        <v>568</v>
      </c>
      <c r="I221" s="772" t="s">
        <v>224</v>
      </c>
    </row>
    <row r="222" spans="3:9" ht="18.75" customHeight="1">
      <c r="C222" s="774"/>
      <c r="D222" s="707">
        <f t="shared" si="5"/>
        <v>0</v>
      </c>
      <c r="F222" s="707" t="str">
        <f t="array" ref="F222">IFERROR(_xlfn.IFS(D222=0,"",D222=1,C222,TRUE,E222),"")</f>
        <v/>
      </c>
      <c r="G222" s="707" t="s">
        <v>568</v>
      </c>
      <c r="I222" s="775"/>
    </row>
    <row r="223" spans="3:9" ht="15.75" customHeight="1">
      <c r="C223" s="760" t="s">
        <v>323</v>
      </c>
      <c r="D223" s="707">
        <f t="shared" si="5"/>
        <v>1</v>
      </c>
      <c r="F223" s="707" t="str">
        <f t="array" ref="F223">IFERROR(_xlfn.IFS(D223=0,"",D223=1,C223,TRUE,E223),"")</f>
        <v>Percentage of CREW, VOLUNTEERS and SUPPLIERS by CAR or TAXI on FOSSIL FUEL</v>
      </c>
      <c r="G223" s="707" t="s">
        <v>568</v>
      </c>
      <c r="I223" s="771" t="s">
        <v>156</v>
      </c>
    </row>
    <row r="224" spans="3:9" ht="15.75" customHeight="1">
      <c r="C224" s="760" t="s">
        <v>325</v>
      </c>
      <c r="D224" s="707">
        <f t="shared" si="5"/>
        <v>1</v>
      </c>
      <c r="F224" s="707" t="str">
        <f t="array" ref="F224">IFERROR(_xlfn.IFS(D224=0,"",D224=1,C224,TRUE,E224),"")</f>
        <v>Average distance CREW, VOLUNTEERS and SUPPLIERS by CAR or TAXI on FOSSIL FUEL (one-way)</v>
      </c>
      <c r="G224" s="707" t="s">
        <v>568</v>
      </c>
      <c r="I224" s="772" t="s">
        <v>224</v>
      </c>
    </row>
    <row r="225" spans="3:9" ht="15.75" customHeight="1">
      <c r="C225" s="760" t="s">
        <v>326</v>
      </c>
      <c r="D225" s="707">
        <f t="shared" si="5"/>
        <v>2</v>
      </c>
      <c r="E225" s="707" t="s">
        <v>581</v>
      </c>
      <c r="F225" s="707" t="str">
        <f t="array" ref="F225">IFERROR(_xlfn.IFS(D225=0,"",D225=1,C225,TRUE,E225),"")</f>
        <v>Average numer of crew volunteers suppliers per car taxi fossil fuel</v>
      </c>
      <c r="G225" s="707" t="s">
        <v>568</v>
      </c>
      <c r="I225" s="772" t="s">
        <v>238</v>
      </c>
    </row>
    <row r="226" spans="3:9" ht="15.75" customHeight="1">
      <c r="C226" s="773"/>
      <c r="D226" s="707">
        <f t="shared" si="5"/>
        <v>0</v>
      </c>
      <c r="F226" s="707" t="str">
        <f t="array" ref="F226">IFERROR(_xlfn.IFS(D226=0,"",D226=1,C226,TRUE,E226),"")</f>
        <v/>
      </c>
      <c r="G226" s="707" t="s">
        <v>568</v>
      </c>
      <c r="I226" s="780"/>
    </row>
    <row r="227" spans="3:9" ht="15.75" customHeight="1">
      <c r="C227" s="760" t="s">
        <v>327</v>
      </c>
      <c r="D227" s="707">
        <f t="shared" si="5"/>
        <v>1</v>
      </c>
      <c r="F227" s="707" t="str">
        <f t="array" ref="F227">IFERROR(_xlfn.IFS(D227=0,"",D227=1,C227,TRUE,E227),"")</f>
        <v xml:space="preserve">Percentage CREW, VOLUNTEERS and SUPPLIERS by ELECTRIC OR BIOFUEL CAR or TAXI </v>
      </c>
      <c r="G227" s="707" t="s">
        <v>568</v>
      </c>
      <c r="I227" s="771" t="s">
        <v>156</v>
      </c>
    </row>
    <row r="228" spans="3:9" ht="15.75" customHeight="1">
      <c r="C228" s="760" t="s">
        <v>329</v>
      </c>
      <c r="D228" s="707">
        <f t="shared" si="5"/>
        <v>1</v>
      </c>
      <c r="F228" s="707" t="str">
        <f t="array" ref="F228">IFERROR(_xlfn.IFS(D228=0,"",D228=1,C228,TRUE,E228),"")</f>
        <v>Average distance CREW, VOLUNTEERS and SUPPLIERS by ELECTRIC OR BIOFUEL CAR or TAXI (one-way)</v>
      </c>
      <c r="G228" s="707" t="s">
        <v>568</v>
      </c>
      <c r="I228" s="772" t="s">
        <v>224</v>
      </c>
    </row>
    <row r="229" spans="3:9" ht="15.75" customHeight="1">
      <c r="C229" s="760" t="s">
        <v>326</v>
      </c>
      <c r="D229" s="707">
        <f t="shared" si="5"/>
        <v>2</v>
      </c>
      <c r="E229" s="707" t="s">
        <v>582</v>
      </c>
      <c r="F229" s="707" t="str">
        <f t="array" ref="F229">IFERROR(_xlfn.IFS(D229=0,"",D229=1,C229,TRUE,E229),"")</f>
        <v>Average numer of crew volunteers suppliers per car taxi ZE</v>
      </c>
      <c r="G229" s="707" t="s">
        <v>568</v>
      </c>
      <c r="I229" s="772" t="s">
        <v>238</v>
      </c>
    </row>
    <row r="230" spans="3:9" ht="15.75" customHeight="1">
      <c r="C230" s="776"/>
      <c r="D230" s="707">
        <f t="shared" si="5"/>
        <v>0</v>
      </c>
      <c r="F230" s="707" t="str">
        <f t="array" ref="F230">IFERROR(_xlfn.IFS(D230=0,"",D230=1,C230,TRUE,E230),"")</f>
        <v/>
      </c>
      <c r="G230" s="707" t="s">
        <v>568</v>
      </c>
      <c r="I230" s="720"/>
    </row>
    <row r="231" spans="3:9" ht="15.75" customHeight="1">
      <c r="C231" s="760" t="s">
        <v>330</v>
      </c>
      <c r="D231" s="707">
        <f t="shared" si="5"/>
        <v>1</v>
      </c>
      <c r="F231" s="707" t="str">
        <f t="array" ref="F231">IFERROR(_xlfn.IFS(D231=0,"",D231=1,C231,TRUE,E231),"")</f>
        <v>Percentage CREW, VOLUNTEERS and SUPPLIERS by (festival) COACH on FOSSIL FUEL</v>
      </c>
      <c r="G231" s="707" t="s">
        <v>568</v>
      </c>
      <c r="I231" s="771" t="s">
        <v>156</v>
      </c>
    </row>
    <row r="232" spans="3:9" ht="15.75" customHeight="1">
      <c r="C232" s="760" t="s">
        <v>332</v>
      </c>
      <c r="D232" s="707">
        <f t="shared" si="5"/>
        <v>1</v>
      </c>
      <c r="F232" s="707" t="str">
        <f t="array" ref="F232">IFERROR(_xlfn.IFS(D232=0,"",D232=1,C232,TRUE,E232),"")</f>
        <v>Average distance CREW, VOLUNTEERS and SUPPLIERS by (festival) COACH on FOSSIL FUEL (one-way)</v>
      </c>
      <c r="G232" s="707" t="s">
        <v>568</v>
      </c>
      <c r="I232" s="772" t="s">
        <v>224</v>
      </c>
    </row>
    <row r="233" spans="3:9" ht="15.75" customHeight="1">
      <c r="C233" s="776"/>
      <c r="D233" s="707">
        <f t="shared" si="5"/>
        <v>0</v>
      </c>
      <c r="F233" s="707" t="str">
        <f t="array" ref="F233">IFERROR(_xlfn.IFS(D233=0,"",D233=1,C233,TRUE,E233),"")</f>
        <v/>
      </c>
      <c r="G233" s="707" t="s">
        <v>568</v>
      </c>
      <c r="I233" s="720"/>
    </row>
    <row r="234" spans="3:9" ht="15.75" customHeight="1">
      <c r="C234" s="760" t="s">
        <v>333</v>
      </c>
      <c r="D234" s="707">
        <f t="shared" si="5"/>
        <v>1</v>
      </c>
      <c r="F234" s="707" t="str">
        <f t="array" ref="F234">IFERROR(_xlfn.IFS(D234=0,"",D234=1,C234,TRUE,E234),"")</f>
        <v>Percentage of CREW, VOLUNTEERS and SUPPLIERS by (festival) COACH ELECTRIC or BIOFUEL</v>
      </c>
      <c r="G234" s="707" t="s">
        <v>568</v>
      </c>
      <c r="I234" s="771" t="s">
        <v>156</v>
      </c>
    </row>
    <row r="235" spans="3:9" ht="15.75" customHeight="1">
      <c r="C235" s="760" t="s">
        <v>335</v>
      </c>
      <c r="D235" s="707">
        <f t="shared" si="5"/>
        <v>1</v>
      </c>
      <c r="F235" s="707" t="str">
        <f t="array" ref="F235">IFERROR(_xlfn.IFS(D235=0,"",D235=1,C235,TRUE,E235),"")</f>
        <v>Average distance CREW, VOLUNTEERS and SUPPLIERS by (festival) COACH ELECTRIC or BIOFUEL (one-way)</v>
      </c>
      <c r="G235" s="707" t="s">
        <v>568</v>
      </c>
      <c r="I235" s="772" t="s">
        <v>224</v>
      </c>
    </row>
    <row r="236" spans="3:9" ht="15.75" customHeight="1">
      <c r="C236" s="776"/>
      <c r="D236" s="707">
        <f t="shared" si="5"/>
        <v>0</v>
      </c>
      <c r="F236" s="707" t="str">
        <f t="array" ref="F236">IFERROR(_xlfn.IFS(D236=0,"",D236=1,C236,TRUE,E236),"")</f>
        <v/>
      </c>
      <c r="G236" s="707" t="s">
        <v>568</v>
      </c>
      <c r="I236" s="720"/>
    </row>
    <row r="237" spans="3:9" ht="15.75" customHeight="1">
      <c r="C237" s="760" t="s">
        <v>336</v>
      </c>
      <c r="D237" s="707">
        <f t="shared" si="5"/>
        <v>1</v>
      </c>
      <c r="F237" s="707" t="str">
        <f t="array" ref="F237">IFERROR(_xlfn.IFS(D237=0,"",D237=1,C237,TRUE,E237),"")</f>
        <v>Percentage CREW, VOLUNTEERS and SUPPLIERS by TRAIN</v>
      </c>
      <c r="G237" s="707" t="s">
        <v>568</v>
      </c>
      <c r="I237" s="771" t="s">
        <v>156</v>
      </c>
    </row>
    <row r="238" spans="3:9" ht="15.75" customHeight="1">
      <c r="C238" s="760" t="s">
        <v>338</v>
      </c>
      <c r="D238" s="707">
        <f t="shared" si="5"/>
        <v>1</v>
      </c>
      <c r="F238" s="707" t="str">
        <f t="array" ref="F238">IFERROR(_xlfn.IFS(D238=0,"",D238=1,C238,TRUE,E238),"")</f>
        <v>Average distance CREW, VOLUNTEERS and SUPPLIERS by TRAIN (one-way)</v>
      </c>
      <c r="G238" s="707" t="s">
        <v>568</v>
      </c>
      <c r="I238" s="772" t="s">
        <v>224</v>
      </c>
    </row>
    <row r="239" spans="3:9" ht="18.75" customHeight="1">
      <c r="C239" s="774"/>
      <c r="D239" s="707">
        <f t="shared" si="5"/>
        <v>0</v>
      </c>
      <c r="F239" s="707" t="str">
        <f t="array" ref="F239">IFERROR(_xlfn.IFS(D239=0,"",D239=1,C239,TRUE,E239),"")</f>
        <v/>
      </c>
      <c r="G239" s="707" t="s">
        <v>568</v>
      </c>
      <c r="I239" s="782"/>
    </row>
    <row r="240" spans="3:9" ht="15.75" customHeight="1">
      <c r="C240" s="760" t="s">
        <v>339</v>
      </c>
      <c r="D240" s="707">
        <f t="shared" si="5"/>
        <v>1</v>
      </c>
      <c r="F240" s="707" t="str">
        <f t="array" ref="F240">IFERROR(_xlfn.IFS(D240=0,"",D240=1,C240,TRUE,E240),"")</f>
        <v>Percentage of CREW, VOLUNTEERS and SUPPLIERS by AIRPLANE</v>
      </c>
      <c r="G240" s="707" t="s">
        <v>568</v>
      </c>
      <c r="I240" s="771" t="s">
        <v>156</v>
      </c>
    </row>
    <row r="241" spans="3:9" ht="15.75" customHeight="1">
      <c r="C241" s="761" t="s">
        <v>341</v>
      </c>
      <c r="D241" s="707">
        <f t="shared" si="5"/>
        <v>1</v>
      </c>
      <c r="F241" s="707" t="str">
        <f t="array" ref="F241">IFERROR(_xlfn.IFS(D241=0,"",D241=1,C241,TRUE,E241),"")</f>
        <v>Average distance CREW, VOLUNTEERS and SUPPLIERS by AIRPLANE (one-way)</v>
      </c>
      <c r="G241" s="707" t="s">
        <v>568</v>
      </c>
      <c r="I241" s="777" t="s">
        <v>224</v>
      </c>
    </row>
    <row r="242" spans="3:9" ht="18" customHeight="1">
      <c r="C242" s="769"/>
      <c r="D242" s="707">
        <f t="shared" si="5"/>
        <v>0</v>
      </c>
      <c r="F242" s="707" t="str">
        <f t="array" ref="F242">IFERROR(_xlfn.IFS(D242=0,"",D242=1,C242,TRUE,E242),"")</f>
        <v/>
      </c>
      <c r="G242" s="707" t="s">
        <v>568</v>
      </c>
      <c r="I242" s="770"/>
    </row>
    <row r="243" spans="3:9" ht="15.75" customHeight="1">
      <c r="C243" s="778" t="s">
        <v>343</v>
      </c>
      <c r="D243" s="707">
        <f t="shared" si="5"/>
        <v>1</v>
      </c>
      <c r="F243" s="707" t="str">
        <f t="array" ref="F243">IFERROR(_xlfn.IFS(D243=0,"",D243=1,C243,TRUE,E243),"")</f>
        <v>Number CREW, VOLUNTEERS and SUPPLIERS by SHIP/FERRY</v>
      </c>
      <c r="G243" s="707" t="s">
        <v>568</v>
      </c>
      <c r="I243" s="725" t="s">
        <v>238</v>
      </c>
    </row>
    <row r="244" spans="3:9" ht="15.75" customHeight="1">
      <c r="C244" s="779" t="s">
        <v>345</v>
      </c>
      <c r="D244" s="707">
        <f t="shared" si="5"/>
        <v>1</v>
      </c>
      <c r="F244" s="707" t="str">
        <f t="array" ref="F244">IFERROR(_xlfn.IFS(D244=0,"",D244=1,C244,TRUE,E244),"")</f>
        <v>Average distance CREW, VOLUNTEERS and SUPPLIERS by SHIP/FERRY (one-way)</v>
      </c>
      <c r="G244" s="707" t="s">
        <v>568</v>
      </c>
      <c r="I244" s="772" t="s">
        <v>224</v>
      </c>
    </row>
    <row r="245" spans="3:9" ht="15.75" customHeight="1">
      <c r="C245" s="779" t="s">
        <v>347</v>
      </c>
      <c r="D245" s="707">
        <f t="shared" si="5"/>
        <v>1</v>
      </c>
      <c r="F245" s="707" t="str">
        <f t="array" ref="F245">IFERROR(_xlfn.IFS(D245=0,"",D245=1,C245,TRUE,E245),"")</f>
        <v>Percentage CREW, VOLUNTEERS and SUPPLIERS by SAILING, ELECTRIC or BIOFUEL SHIP/FERRY</v>
      </c>
      <c r="G245" s="707" t="s">
        <v>568</v>
      </c>
      <c r="I245" s="772" t="s">
        <v>156</v>
      </c>
    </row>
    <row r="246" spans="3:9" ht="15.75" customHeight="1">
      <c r="C246" s="780"/>
      <c r="D246" s="707">
        <f t="shared" si="5"/>
        <v>0</v>
      </c>
      <c r="F246" s="707" t="str">
        <f t="array" ref="F246">IFERROR(_xlfn.IFS(D246=0,"",D246=1,C246,TRUE,E246),"")</f>
        <v/>
      </c>
      <c r="G246" s="707" t="s">
        <v>568</v>
      </c>
      <c r="I246" s="720"/>
    </row>
    <row r="247" spans="3:9" ht="15.75" customHeight="1">
      <c r="C247" s="779" t="s">
        <v>349</v>
      </c>
      <c r="D247" s="707">
        <f t="shared" si="5"/>
        <v>1</v>
      </c>
      <c r="F247" s="707" t="str">
        <f t="array" ref="F247">IFERROR(_xlfn.IFS(D247=0,"",D247=1,C247,TRUE,E247),"")</f>
        <v>Number CREW, VOLUNTEERS and SUPPLIERS by SHUTTLE</v>
      </c>
      <c r="G247" s="707" t="s">
        <v>568</v>
      </c>
      <c r="I247" s="772" t="s">
        <v>238</v>
      </c>
    </row>
    <row r="248" spans="3:9" ht="15.75" customHeight="1">
      <c r="C248" s="779" t="s">
        <v>351</v>
      </c>
      <c r="D248" s="707">
        <f t="shared" si="5"/>
        <v>1</v>
      </c>
      <c r="F248" s="707" t="str">
        <f t="array" ref="F248">IFERROR(_xlfn.IFS(D248=0,"",D248=1,C248,TRUE,E248),"")</f>
        <v>Average distance CREW, VOLUNTEERS and SUPPLIERS by SHUTTLE (one-way)</v>
      </c>
      <c r="G248" s="707" t="s">
        <v>568</v>
      </c>
      <c r="I248" s="772" t="s">
        <v>224</v>
      </c>
    </row>
    <row r="249" spans="3:9" ht="15.75" customHeight="1">
      <c r="C249" s="781" t="s">
        <v>353</v>
      </c>
      <c r="D249" s="707">
        <f t="shared" si="5"/>
        <v>1</v>
      </c>
      <c r="F249" s="707" t="str">
        <f t="array" ref="F249">IFERROR(_xlfn.IFS(D249=0,"",D249=1,C249,TRUE,E249),"")</f>
        <v>Percentage CREW, VOLUNTEERS and SUPPLIERS by ELECTRIC or BIOFUEL SHUTTLE</v>
      </c>
      <c r="G249" s="707" t="s">
        <v>568</v>
      </c>
      <c r="I249" s="777" t="s">
        <v>156</v>
      </c>
    </row>
    <row r="250" spans="3:9" ht="20.25" customHeight="1">
      <c r="C250" s="767"/>
      <c r="D250" s="707">
        <f t="shared" ref="D250:D313" si="6">COUNTIFS(C:C,C250)</f>
        <v>0</v>
      </c>
      <c r="F250" s="707" t="str">
        <f t="array" ref="F250">IFERROR(_xlfn.IFS(D250=0,"",D250=1,C250,TRUE,E250),"")</f>
        <v/>
      </c>
      <c r="G250" s="707" t="s">
        <v>568</v>
      </c>
      <c r="I250" s="768"/>
    </row>
    <row r="251" spans="3:9" ht="15.75" customHeight="1">
      <c r="C251" s="724" t="s">
        <v>356</v>
      </c>
      <c r="D251" s="707">
        <f t="shared" si="6"/>
        <v>2</v>
      </c>
      <c r="E251" s="707" t="str">
        <f t="shared" ref="E251:E257" si="7">"Internal transport - "&amp;C251</f>
        <v>Internal transport - Renewable electricity</v>
      </c>
      <c r="F251" s="707" t="str">
        <f t="array" ref="F251">IFERROR(_xlfn.IFS(D251=0,"",D251=1,C251,TRUE,E251),"")</f>
        <v>Internal transport - Renewable electricity</v>
      </c>
      <c r="G251" s="707" t="s">
        <v>570</v>
      </c>
      <c r="I251" s="755" t="s">
        <v>583</v>
      </c>
    </row>
    <row r="252" spans="3:9" ht="15.75" customHeight="1">
      <c r="C252" s="724" t="s">
        <v>358</v>
      </c>
      <c r="D252" s="707">
        <f t="shared" si="6"/>
        <v>2</v>
      </c>
      <c r="E252" s="707" t="str">
        <f t="shared" si="7"/>
        <v>Internal transport - Non-renewable electricity</v>
      </c>
      <c r="F252" s="707" t="str">
        <f t="array" ref="F252">IFERROR(_xlfn.IFS(D252=0,"",D252=1,C252,TRUE,E252),"")</f>
        <v>Internal transport - Non-renewable electricity</v>
      </c>
      <c r="G252" s="707" t="s">
        <v>570</v>
      </c>
      <c r="I252" s="755" t="s">
        <v>583</v>
      </c>
    </row>
    <row r="253" spans="3:9" ht="15.75" customHeight="1">
      <c r="C253" s="760" t="s">
        <v>360</v>
      </c>
      <c r="D253" s="707">
        <f t="shared" si="6"/>
        <v>2</v>
      </c>
      <c r="E253" s="707" t="str">
        <f t="shared" si="7"/>
        <v>Internal transport - Sustainable biofuel (HVO-UCO/Tall B100)</v>
      </c>
      <c r="F253" s="707" t="str">
        <f t="array" ref="F253">IFERROR(_xlfn.IFS(D253=0,"",D253=1,C253,TRUE,E253),"")</f>
        <v>Internal transport - Sustainable biofuel (HVO-UCO/Tall B100)</v>
      </c>
      <c r="G253" s="707" t="s">
        <v>570</v>
      </c>
      <c r="I253" s="733" t="s">
        <v>91</v>
      </c>
    </row>
    <row r="254" spans="3:9" ht="15.75" customHeight="1">
      <c r="C254" s="760" t="s">
        <v>362</v>
      </c>
      <c r="D254" s="707">
        <f t="shared" si="6"/>
        <v>2</v>
      </c>
      <c r="E254" s="707" t="str">
        <f t="shared" si="7"/>
        <v>Internal transport - Fossil diesel</v>
      </c>
      <c r="F254" s="707" t="str">
        <f t="array" ref="F254">IFERROR(_xlfn.IFS(D254=0,"",D254=1,C254,TRUE,E254),"")</f>
        <v>Internal transport - Fossil diesel</v>
      </c>
      <c r="G254" s="707" t="s">
        <v>570</v>
      </c>
      <c r="I254" s="733" t="s">
        <v>91</v>
      </c>
    </row>
    <row r="255" spans="3:9" ht="15.75" customHeight="1">
      <c r="C255" s="760" t="s">
        <v>364</v>
      </c>
      <c r="D255" s="707">
        <f t="shared" si="6"/>
        <v>2</v>
      </c>
      <c r="E255" s="707" t="str">
        <f t="shared" si="7"/>
        <v>Internal transport - Fossil gasoline</v>
      </c>
      <c r="F255" s="707" t="str">
        <f t="array" ref="F255">IFERROR(_xlfn.IFS(D255=0,"",D255=1,C255,TRUE,E255),"")</f>
        <v>Internal transport - Fossil gasoline</v>
      </c>
      <c r="G255" s="707" t="s">
        <v>570</v>
      </c>
      <c r="I255" s="733" t="s">
        <v>91</v>
      </c>
    </row>
    <row r="256" spans="3:9" ht="15.75" customHeight="1">
      <c r="C256" s="760" t="s">
        <v>366</v>
      </c>
      <c r="D256" s="707">
        <f t="shared" si="6"/>
        <v>2</v>
      </c>
      <c r="E256" s="707" t="str">
        <f t="shared" si="7"/>
        <v>Internal transport - Biogas</v>
      </c>
      <c r="F256" s="707" t="str">
        <f t="array" ref="F256">IFERROR(_xlfn.IFS(D256=0,"",D256=1,C256,TRUE,E256),"")</f>
        <v>Internal transport - Biogas</v>
      </c>
      <c r="G256" s="707" t="s">
        <v>570</v>
      </c>
      <c r="I256" s="783" t="s">
        <v>96</v>
      </c>
    </row>
    <row r="257" spans="3:9" ht="15.75" customHeight="1">
      <c r="C257" s="761" t="s">
        <v>368</v>
      </c>
      <c r="D257" s="707">
        <f t="shared" si="6"/>
        <v>2</v>
      </c>
      <c r="E257" s="707" t="str">
        <f t="shared" si="7"/>
        <v>Internal transport - Fossil natural gas</v>
      </c>
      <c r="F257" s="707" t="str">
        <f t="array" ref="F257">IFERROR(_xlfn.IFS(D257=0,"",D257=1,C257,TRUE,E257),"")</f>
        <v>Internal transport - Fossil natural gas</v>
      </c>
      <c r="G257" s="707" t="s">
        <v>570</v>
      </c>
      <c r="I257" s="784" t="s">
        <v>96</v>
      </c>
    </row>
    <row r="258" spans="3:9" ht="20.25" customHeight="1">
      <c r="C258" s="767"/>
      <c r="D258" s="707">
        <f t="shared" si="6"/>
        <v>0</v>
      </c>
      <c r="F258" s="707" t="str">
        <f t="array" ref="F258">IFERROR(_xlfn.IFS(D258=0,"",D258=1,C258,TRUE,E258),"")</f>
        <v/>
      </c>
      <c r="G258" s="707" t="s">
        <v>570</v>
      </c>
      <c r="I258" s="768"/>
    </row>
    <row r="259" spans="3:9" ht="15.75" customHeight="1">
      <c r="C259" s="724" t="s">
        <v>356</v>
      </c>
      <c r="D259" s="707">
        <f t="shared" si="6"/>
        <v>2</v>
      </c>
      <c r="E259" s="707" t="str">
        <f t="shared" ref="E259:E265" si="8">"Supplier transportation - "&amp;C259</f>
        <v>Supplier transportation - Renewable electricity</v>
      </c>
      <c r="F259" s="707" t="str">
        <f t="array" ref="F259">IFERROR(_xlfn.IFS(D259=0,"",D259=1,C259,TRUE,E259),"")</f>
        <v>Supplier transportation - Renewable electricity</v>
      </c>
      <c r="G259" s="707" t="s">
        <v>570</v>
      </c>
      <c r="I259" s="755" t="s">
        <v>583</v>
      </c>
    </row>
    <row r="260" spans="3:9" ht="15.75" customHeight="1">
      <c r="C260" s="724" t="s">
        <v>358</v>
      </c>
      <c r="D260" s="707">
        <f t="shared" si="6"/>
        <v>2</v>
      </c>
      <c r="E260" s="707" t="str">
        <f t="shared" si="8"/>
        <v>Supplier transportation - Non-renewable electricity</v>
      </c>
      <c r="F260" s="707" t="str">
        <f t="array" ref="F260">IFERROR(_xlfn.IFS(D260=0,"",D260=1,C260,TRUE,E260),"")</f>
        <v>Supplier transportation - Non-renewable electricity</v>
      </c>
      <c r="G260" s="707" t="s">
        <v>570</v>
      </c>
      <c r="I260" s="755" t="s">
        <v>583</v>
      </c>
    </row>
    <row r="261" spans="3:9" ht="15.75" customHeight="1">
      <c r="C261" s="760" t="s">
        <v>360</v>
      </c>
      <c r="D261" s="707">
        <f t="shared" si="6"/>
        <v>2</v>
      </c>
      <c r="E261" s="707" t="str">
        <f t="shared" si="8"/>
        <v>Supplier transportation - Sustainable biofuel (HVO-UCO/Tall B100)</v>
      </c>
      <c r="F261" s="707" t="str">
        <f t="array" ref="F261">IFERROR(_xlfn.IFS(D261=0,"",D261=1,C261,TRUE,E261),"")</f>
        <v>Supplier transportation - Sustainable biofuel (HVO-UCO/Tall B100)</v>
      </c>
      <c r="G261" s="707" t="s">
        <v>570</v>
      </c>
      <c r="I261" s="733" t="s">
        <v>91</v>
      </c>
    </row>
    <row r="262" spans="3:9" ht="15.75" customHeight="1">
      <c r="C262" s="760" t="s">
        <v>362</v>
      </c>
      <c r="D262" s="707">
        <f t="shared" si="6"/>
        <v>2</v>
      </c>
      <c r="E262" s="707" t="str">
        <f t="shared" si="8"/>
        <v>Supplier transportation - Fossil diesel</v>
      </c>
      <c r="F262" s="707" t="str">
        <f t="array" ref="F262">IFERROR(_xlfn.IFS(D262=0,"",D262=1,C262,TRUE,E262),"")</f>
        <v>Supplier transportation - Fossil diesel</v>
      </c>
      <c r="G262" s="707" t="s">
        <v>570</v>
      </c>
      <c r="I262" s="733" t="s">
        <v>91</v>
      </c>
    </row>
    <row r="263" spans="3:9" ht="15.75" customHeight="1">
      <c r="C263" s="760" t="s">
        <v>364</v>
      </c>
      <c r="D263" s="707">
        <f t="shared" si="6"/>
        <v>2</v>
      </c>
      <c r="E263" s="707" t="str">
        <f t="shared" si="8"/>
        <v>Supplier transportation - Fossil gasoline</v>
      </c>
      <c r="F263" s="707" t="str">
        <f t="array" ref="F263">IFERROR(_xlfn.IFS(D263=0,"",D263=1,C263,TRUE,E263),"")</f>
        <v>Supplier transportation - Fossil gasoline</v>
      </c>
      <c r="G263" s="707" t="s">
        <v>570</v>
      </c>
      <c r="I263" s="733" t="s">
        <v>91</v>
      </c>
    </row>
    <row r="264" spans="3:9" ht="15.75" customHeight="1">
      <c r="C264" s="760" t="s">
        <v>366</v>
      </c>
      <c r="D264" s="707">
        <f t="shared" si="6"/>
        <v>2</v>
      </c>
      <c r="E264" s="707" t="str">
        <f t="shared" si="8"/>
        <v>Supplier transportation - Biogas</v>
      </c>
      <c r="F264" s="707" t="str">
        <f t="array" ref="F264">IFERROR(_xlfn.IFS(D264=0,"",D264=1,C264,TRUE,E264),"")</f>
        <v>Supplier transportation - Biogas</v>
      </c>
      <c r="G264" s="707" t="s">
        <v>570</v>
      </c>
      <c r="I264" s="783" t="s">
        <v>96</v>
      </c>
    </row>
    <row r="265" spans="3:9" ht="15.75" customHeight="1">
      <c r="C265" s="761" t="s">
        <v>368</v>
      </c>
      <c r="D265" s="707">
        <f t="shared" si="6"/>
        <v>2</v>
      </c>
      <c r="E265" s="707" t="str">
        <f t="shared" si="8"/>
        <v>Supplier transportation - Fossil natural gas</v>
      </c>
      <c r="F265" s="707" t="str">
        <f t="array" ref="F265">IFERROR(_xlfn.IFS(D265=0,"",D265=1,C265,TRUE,E265),"")</f>
        <v>Supplier transportation - Fossil natural gas</v>
      </c>
      <c r="G265" s="707" t="s">
        <v>570</v>
      </c>
      <c r="I265" s="784" t="s">
        <v>96</v>
      </c>
    </row>
    <row r="266" spans="3:9" ht="20.25" customHeight="1">
      <c r="C266" s="767"/>
      <c r="D266" s="707">
        <f t="shared" si="6"/>
        <v>0</v>
      </c>
      <c r="F266" s="707" t="str">
        <f t="array" ref="F266">IFERROR(_xlfn.IFS(D266=0,"",D266=1,C266,TRUE,E266),"")</f>
        <v/>
      </c>
      <c r="G266" s="707" t="s">
        <v>570</v>
      </c>
      <c r="I266" s="768"/>
    </row>
    <row r="267" spans="3:9" ht="15.75" customHeight="1">
      <c r="C267" s="732" t="s">
        <v>385</v>
      </c>
      <c r="D267" s="707">
        <f t="shared" si="6"/>
        <v>1</v>
      </c>
      <c r="F267" s="707" t="str">
        <f t="array" ref="F267">IFERROR(_xlfn.IFS(D267=0,"",D267=1,C267,TRUE,E267),"")</f>
        <v>Fuel Replacement air travel &amp; transport</v>
      </c>
      <c r="G267" s="707" t="s">
        <v>584</v>
      </c>
      <c r="I267" s="733" t="s">
        <v>386</v>
      </c>
    </row>
    <row r="268" spans="3:9" ht="15.75" customHeight="1">
      <c r="C268" s="726" t="s">
        <v>388</v>
      </c>
      <c r="D268" s="707">
        <f t="shared" si="6"/>
        <v>1</v>
      </c>
      <c r="F268" s="707" t="str">
        <f t="array" ref="F268">IFERROR(_xlfn.IFS(D268=0,"",D268=1,C268,TRUE,E268),"")</f>
        <v>Fuel Replacement marine travel &amp; transport</v>
      </c>
      <c r="G268" s="707" t="s">
        <v>584</v>
      </c>
      <c r="I268" s="727" t="s">
        <v>386</v>
      </c>
    </row>
    <row r="269" spans="3:9" ht="15.75" customHeight="1">
      <c r="C269" s="726" t="s">
        <v>390</v>
      </c>
      <c r="D269" s="707">
        <f t="shared" si="6"/>
        <v>1</v>
      </c>
      <c r="F269" s="707" t="str">
        <f t="array" ref="F269">IFERROR(_xlfn.IFS(D269=0,"",D269=1,C269,TRUE,E269),"")</f>
        <v>Fuel Replacement road travel &amp; transport</v>
      </c>
      <c r="G269" s="707" t="s">
        <v>584</v>
      </c>
      <c r="I269" s="727" t="s">
        <v>386</v>
      </c>
    </row>
    <row r="270" spans="3:9" ht="15.75" customHeight="1">
      <c r="C270" s="709"/>
      <c r="D270" s="707">
        <f t="shared" si="6"/>
        <v>0</v>
      </c>
      <c r="F270" s="707" t="str">
        <f t="array" ref="F270">IFERROR(_xlfn.IFS(D270=0,"",D270=1,C270,TRUE,E270),"")</f>
        <v/>
      </c>
      <c r="I270" s="709"/>
    </row>
    <row r="271" spans="3:9" ht="23.25" customHeight="1">
      <c r="C271" s="785"/>
      <c r="D271" s="707">
        <f t="shared" si="6"/>
        <v>0</v>
      </c>
      <c r="F271" s="707" t="str">
        <f t="array" ref="F271">IFERROR(_xlfn.IFS(D271=0,"",D271=1,C271,TRUE,E271),"")</f>
        <v/>
      </c>
      <c r="I271" s="786"/>
    </row>
    <row r="272" spans="3:9" ht="15.75" customHeight="1">
      <c r="C272" s="787" t="s">
        <v>393</v>
      </c>
      <c r="D272" s="707">
        <f t="shared" si="6"/>
        <v>1</v>
      </c>
      <c r="F272" s="707" t="str">
        <f t="array" ref="F272">IFERROR(_xlfn.IFS(D272=0,"",D272=1,C272,TRUE,E272),"")</f>
        <v>Potable (drinking) water</v>
      </c>
      <c r="G272" s="707" t="s">
        <v>570</v>
      </c>
      <c r="I272" s="733" t="s">
        <v>91</v>
      </c>
    </row>
    <row r="273" spans="3:9" ht="15.75" customHeight="1">
      <c r="C273" s="787" t="s">
        <v>395</v>
      </c>
      <c r="D273" s="707">
        <f t="shared" si="6"/>
        <v>1</v>
      </c>
      <c r="F273" s="707" t="str">
        <f t="array" ref="F273">IFERROR(_xlfn.IFS(D273=0,"",D273=1,C273,TRUE,E273),"")</f>
        <v xml:space="preserve">Non-potable (non-drinking) water </v>
      </c>
      <c r="G273" s="707" t="s">
        <v>570</v>
      </c>
      <c r="I273" s="733" t="s">
        <v>91</v>
      </c>
    </row>
    <row r="274" spans="3:9" ht="15.75" customHeight="1">
      <c r="C274" s="787" t="s">
        <v>397</v>
      </c>
      <c r="D274" s="707">
        <f t="shared" si="6"/>
        <v>1</v>
      </c>
      <c r="F274" s="707" t="str">
        <f t="array" ref="F274">IFERROR(_xlfn.IFS(D274=0,"",D274=1,C274,TRUE,E274),"")</f>
        <v>Water reused on-site</v>
      </c>
      <c r="G274" s="707" t="s">
        <v>570</v>
      </c>
      <c r="I274" s="733" t="s">
        <v>91</v>
      </c>
    </row>
    <row r="275" spans="3:9" ht="15.75" customHeight="1">
      <c r="C275" s="787" t="s">
        <v>399</v>
      </c>
      <c r="D275" s="707">
        <f t="shared" si="6"/>
        <v>1</v>
      </c>
      <c r="F275" s="707" t="str">
        <f t="array" ref="F275">IFERROR(_xlfn.IFS(D275=0,"",D275=1,C275,TRUE,E275),"")</f>
        <v>Water cleaned (on-site) and released to environment</v>
      </c>
      <c r="G275" s="707" t="s">
        <v>570</v>
      </c>
      <c r="I275" s="733" t="s">
        <v>91</v>
      </c>
    </row>
    <row r="276" spans="3:9" ht="15.75" customHeight="1">
      <c r="C276" s="787" t="s">
        <v>585</v>
      </c>
      <c r="D276" s="707">
        <f t="shared" si="6"/>
        <v>1</v>
      </c>
      <c r="F276" s="707" t="str">
        <f t="array" ref="F276">IFERROR(_xlfn.IFS(D276=0,"",D276=1,C276,TRUE,E276),"")</f>
        <v>Waste water removed from site (If unknown - leave blank (this will be deduced from total water use)</v>
      </c>
      <c r="G276" s="707" t="s">
        <v>570</v>
      </c>
      <c r="I276" s="733" t="s">
        <v>91</v>
      </c>
    </row>
    <row r="277" spans="3:9" ht="15.75" customHeight="1">
      <c r="C277" s="709"/>
      <c r="D277" s="707">
        <f t="shared" si="6"/>
        <v>0</v>
      </c>
      <c r="F277" s="707" t="str">
        <f t="array" ref="F277">IFERROR(_xlfn.IFS(D277=0,"",D277=1,C277,TRUE,E277),"")</f>
        <v/>
      </c>
      <c r="I277" s="709"/>
    </row>
    <row r="278" spans="3:9" ht="23.25" customHeight="1">
      <c r="C278" s="788"/>
      <c r="D278" s="707">
        <f t="shared" si="6"/>
        <v>0</v>
      </c>
      <c r="F278" s="707" t="str">
        <f t="array" ref="F278">IFERROR(_xlfn.IFS(D278=0,"",D278=1,C278,TRUE,E278),"")</f>
        <v/>
      </c>
      <c r="I278" s="789"/>
    </row>
    <row r="279" spans="3:9" ht="189" customHeight="1">
      <c r="C279" s="790" t="s">
        <v>586</v>
      </c>
      <c r="D279" s="707" t="e">
        <f t="shared" si="6"/>
        <v>#VALUE!</v>
      </c>
      <c r="F279" s="707" t="str">
        <f t="array" ref="F279">IFERROR(_xlfn.IFS(D279=0,"",D279=1,C279,TRUE,E279),"")</f>
        <v/>
      </c>
      <c r="I279" s="790"/>
    </row>
    <row r="280" spans="3:9" ht="21" customHeight="1">
      <c r="C280" s="791"/>
      <c r="D280" s="707">
        <f t="shared" si="6"/>
        <v>0</v>
      </c>
      <c r="F280" s="707" t="str">
        <f t="array" ref="F280">IFERROR(_xlfn.IFS(D280=0,"",D280=1,C280,TRUE,E280),"")</f>
        <v/>
      </c>
      <c r="I280" s="792"/>
    </row>
    <row r="281" spans="3:9" ht="18" customHeight="1">
      <c r="C281" s="793"/>
      <c r="D281" s="707">
        <f t="shared" si="6"/>
        <v>0</v>
      </c>
      <c r="F281" s="707" t="str">
        <f t="array" ref="F281">IFERROR(_xlfn.IFS(D281=0,"",D281=1,C281,TRUE,E281),"")</f>
        <v/>
      </c>
      <c r="I281" s="794"/>
    </row>
    <row r="282" spans="3:9" ht="15.75" customHeight="1">
      <c r="C282" s="732" t="s">
        <v>409</v>
      </c>
      <c r="D282" s="707">
        <f t="shared" si="6"/>
        <v>1</v>
      </c>
      <c r="F282" s="707" t="str">
        <f t="array" ref="F282">IFERROR(_xlfn.IFS(D282=0,"",D282=1,C282,TRUE,E282),"")</f>
        <v>Percentage organic food</v>
      </c>
      <c r="G282" s="707" t="s">
        <v>587</v>
      </c>
      <c r="I282" s="733" t="s">
        <v>156</v>
      </c>
    </row>
    <row r="283" spans="3:9" ht="15.75" customHeight="1">
      <c r="C283" s="726" t="s">
        <v>411</v>
      </c>
      <c r="D283" s="707">
        <f t="shared" si="6"/>
        <v>1</v>
      </c>
      <c r="F283" s="707" t="str">
        <f t="array" ref="F283">IFERROR(_xlfn.IFS(D283=0,"",D283=1,C283,TRUE,E283),"")</f>
        <v>Percentage regenerative agriculture food</v>
      </c>
      <c r="G283" s="707" t="s">
        <v>587</v>
      </c>
      <c r="I283" s="727" t="s">
        <v>156</v>
      </c>
    </row>
    <row r="284" spans="3:9" ht="15.75" customHeight="1">
      <c r="C284" s="728" t="s">
        <v>413</v>
      </c>
      <c r="D284" s="707">
        <f t="shared" si="6"/>
        <v>1</v>
      </c>
      <c r="F284" s="707" t="str">
        <f t="array" ref="F284">IFERROR(_xlfn.IFS(D284=0,"",D284=1,C284,TRUE,E284),"")</f>
        <v>Percentage local food</v>
      </c>
      <c r="G284" s="707" t="s">
        <v>587</v>
      </c>
      <c r="I284" s="734" t="s">
        <v>156</v>
      </c>
    </row>
    <row r="285" spans="3:9" ht="18" customHeight="1">
      <c r="C285" s="793"/>
      <c r="D285" s="707">
        <f t="shared" si="6"/>
        <v>0</v>
      </c>
      <c r="F285" s="707" t="str">
        <f t="array" ref="F285">IFERROR(_xlfn.IFS(D285=0,"",D285=1,C285,TRUE,E285),"")</f>
        <v/>
      </c>
      <c r="I285" s="794"/>
    </row>
    <row r="286" spans="3:9" ht="15.75" customHeight="1">
      <c r="C286" s="732" t="s">
        <v>416</v>
      </c>
      <c r="D286" s="707">
        <f t="shared" si="6"/>
        <v>1</v>
      </c>
      <c r="F286" s="707" t="str">
        <f t="array" ref="F286">IFERROR(_xlfn.IFS(D286=0,"",D286=1,C286,TRUE,E286),"")</f>
        <v>Vegetables</v>
      </c>
      <c r="G286" s="707" t="s">
        <v>570</v>
      </c>
      <c r="I286" s="733" t="s">
        <v>96</v>
      </c>
    </row>
    <row r="287" spans="3:9" ht="15.75" customHeight="1">
      <c r="C287" s="726" t="s">
        <v>418</v>
      </c>
      <c r="D287" s="707">
        <f t="shared" si="6"/>
        <v>1</v>
      </c>
      <c r="F287" s="707" t="str">
        <f t="array" ref="F287">IFERROR(_xlfn.IFS(D287=0,"",D287=1,C287,TRUE,E287),"")</f>
        <v>Grains</v>
      </c>
      <c r="G287" s="707" t="s">
        <v>570</v>
      </c>
      <c r="I287" s="733" t="s">
        <v>96</v>
      </c>
    </row>
    <row r="288" spans="3:9" ht="15.75" customHeight="1">
      <c r="C288" s="726" t="s">
        <v>420</v>
      </c>
      <c r="D288" s="707">
        <f t="shared" si="6"/>
        <v>1</v>
      </c>
      <c r="F288" s="707" t="str">
        <f t="array" ref="F288">IFERROR(_xlfn.IFS(D288=0,"",D288=1,C288,TRUE,E288),"")</f>
        <v>Fruits</v>
      </c>
      <c r="G288" s="707" t="s">
        <v>570</v>
      </c>
      <c r="I288" s="733" t="s">
        <v>96</v>
      </c>
    </row>
    <row r="289" spans="3:9" ht="15.75" customHeight="1">
      <c r="C289" s="726" t="s">
        <v>422</v>
      </c>
      <c r="D289" s="707">
        <f t="shared" si="6"/>
        <v>1</v>
      </c>
      <c r="F289" s="707" t="str">
        <f t="array" ref="F289">IFERROR(_xlfn.IFS(D289=0,"",D289=1,C289,TRUE,E289),"")</f>
        <v>Sauces</v>
      </c>
      <c r="G289" s="707" t="s">
        <v>570</v>
      </c>
      <c r="I289" s="733" t="s">
        <v>96</v>
      </c>
    </row>
    <row r="290" spans="3:9" ht="15.75" customHeight="1">
      <c r="C290" s="726" t="s">
        <v>424</v>
      </c>
      <c r="D290" s="707">
        <f t="shared" si="6"/>
        <v>1</v>
      </c>
      <c r="F290" s="707" t="str">
        <f t="array" ref="F290">IFERROR(_xlfn.IFS(D290=0,"",D290=1,C290,TRUE,E290),"")</f>
        <v>Dairy</v>
      </c>
      <c r="G290" s="707" t="s">
        <v>570</v>
      </c>
      <c r="I290" s="733" t="s">
        <v>96</v>
      </c>
    </row>
    <row r="291" spans="3:9" ht="15.75" customHeight="1">
      <c r="C291" s="726" t="s">
        <v>588</v>
      </c>
      <c r="D291" s="707">
        <f t="shared" si="6"/>
        <v>1</v>
      </c>
      <c r="F291" s="707" t="str">
        <f t="array" ref="F291">IFERROR(_xlfn.IFS(D291=0,"",D291=1,C291,TRUE,E291),"")</f>
        <v>Meat</v>
      </c>
      <c r="G291" s="707" t="s">
        <v>570</v>
      </c>
      <c r="I291" s="733" t="s">
        <v>96</v>
      </c>
    </row>
    <row r="292" spans="3:9" ht="15.75" customHeight="1">
      <c r="C292" s="728" t="s">
        <v>430</v>
      </c>
      <c r="D292" s="707">
        <f t="shared" si="6"/>
        <v>1</v>
      </c>
      <c r="F292" s="707" t="str">
        <f t="array" ref="F292">IFERROR(_xlfn.IFS(D292=0,"",D292=1,C292,TRUE,E292),"")</f>
        <v>Seafood</v>
      </c>
      <c r="G292" s="707" t="s">
        <v>570</v>
      </c>
      <c r="I292" s="733" t="s">
        <v>96</v>
      </c>
    </row>
    <row r="293" spans="3:9" ht="18" customHeight="1">
      <c r="C293" s="793"/>
      <c r="D293" s="707">
        <f t="shared" si="6"/>
        <v>0</v>
      </c>
      <c r="F293" s="707" t="str">
        <f t="array" ref="F293">IFERROR(_xlfn.IFS(D293=0,"",D293=1,C293,TRUE,E293),"")</f>
        <v/>
      </c>
      <c r="G293" s="707" t="s">
        <v>570</v>
      </c>
      <c r="I293" s="794"/>
    </row>
    <row r="294" spans="3:9" ht="15.75" customHeight="1">
      <c r="C294" s="754" t="s">
        <v>433</v>
      </c>
      <c r="D294" s="707">
        <f t="shared" si="6"/>
        <v>1</v>
      </c>
      <c r="F294" s="707" t="str">
        <f t="array" ref="F294">IFERROR(_xlfn.IFS(D294=0,"",D294=1,C294,TRUE,E294),"")</f>
        <v>Super high impact meals (average: 4 kg CO2 per meal)</v>
      </c>
      <c r="G294" s="707" t="s">
        <v>570</v>
      </c>
      <c r="I294" s="733" t="s">
        <v>434</v>
      </c>
    </row>
    <row r="295" spans="3:9" ht="15.75" customHeight="1">
      <c r="C295" s="756" t="s">
        <v>436</v>
      </c>
      <c r="D295" s="707">
        <f t="shared" si="6"/>
        <v>1</v>
      </c>
      <c r="F295" s="707" t="str">
        <f t="array" ref="F295">IFERROR(_xlfn.IFS(D295=0,"",D295=1,C295,TRUE,E295),"")</f>
        <v>High impact meals (average: 1.5 kg CO2 per meal)</v>
      </c>
      <c r="G295" s="707" t="s">
        <v>570</v>
      </c>
      <c r="I295" s="733" t="s">
        <v>434</v>
      </c>
    </row>
    <row r="296" spans="3:9" ht="15.75" customHeight="1">
      <c r="C296" s="756" t="s">
        <v>438</v>
      </c>
      <c r="D296" s="707">
        <f t="shared" si="6"/>
        <v>1</v>
      </c>
      <c r="F296" s="707" t="str">
        <f t="array" ref="F296">IFERROR(_xlfn.IFS(D296=0,"",D296=1,C296,TRUE,E296),"")</f>
        <v>Medium impact meals (average: 0.6 kg CO2 per meal)</v>
      </c>
      <c r="G296" s="707" t="s">
        <v>570</v>
      </c>
      <c r="I296" s="733" t="s">
        <v>434</v>
      </c>
    </row>
    <row r="297" spans="3:9" ht="15.75" customHeight="1">
      <c r="C297" s="756" t="s">
        <v>440</v>
      </c>
      <c r="D297" s="707">
        <f t="shared" si="6"/>
        <v>1</v>
      </c>
      <c r="F297" s="707" t="str">
        <f t="array" ref="F297">IFERROR(_xlfn.IFS(D297=0,"",D297=1,C297,TRUE,E297),"")</f>
        <v>Low impact meals (average: 0.34 kg CO2 per meal)</v>
      </c>
      <c r="G297" s="707" t="s">
        <v>570</v>
      </c>
      <c r="I297" s="733" t="s">
        <v>434</v>
      </c>
    </row>
    <row r="298" spans="3:9" ht="15.75" customHeight="1">
      <c r="C298" s="795" t="s">
        <v>442</v>
      </c>
      <c r="D298" s="707">
        <f t="shared" si="6"/>
        <v>1</v>
      </c>
      <c r="F298" s="707" t="str">
        <f t="array" ref="F298">IFERROR(_xlfn.IFS(D298=0,"",D298=1,C298,TRUE,E298),"")</f>
        <v>Ultra low impact meals (average: 0.16 kg CO2 per meal)</v>
      </c>
      <c r="G298" s="707" t="s">
        <v>570</v>
      </c>
      <c r="I298" s="733" t="s">
        <v>434</v>
      </c>
    </row>
    <row r="299" spans="3:9" ht="21" customHeight="1">
      <c r="C299" s="791"/>
      <c r="D299" s="707">
        <f t="shared" si="6"/>
        <v>0</v>
      </c>
      <c r="F299" s="707" t="str">
        <f t="array" ref="F299">IFERROR(_xlfn.IFS(D299=0,"",D299=1,C299,TRUE,E299),"")</f>
        <v/>
      </c>
      <c r="I299" s="792"/>
    </row>
    <row r="300" spans="3:9" ht="18" customHeight="1">
      <c r="C300" s="793"/>
      <c r="D300" s="707">
        <f t="shared" si="6"/>
        <v>0</v>
      </c>
      <c r="F300" s="707" t="str">
        <f t="array" ref="F300">IFERROR(_xlfn.IFS(D300=0,"",D300=1,C300,TRUE,E300),"")</f>
        <v/>
      </c>
      <c r="I300" s="794"/>
    </row>
    <row r="301" spans="3:9" ht="15.75" customHeight="1">
      <c r="C301" s="732" t="s">
        <v>447</v>
      </c>
      <c r="D301" s="707">
        <f t="shared" si="6"/>
        <v>1</v>
      </c>
      <c r="F301" s="707" t="str">
        <f t="array" ref="F301">IFERROR(_xlfn.IFS(D301=0,"",D301=1,C301,TRUE,E301),"")</f>
        <v>Percentage organic drinks</v>
      </c>
      <c r="G301" s="707" t="s">
        <v>587</v>
      </c>
      <c r="I301" s="733" t="s">
        <v>156</v>
      </c>
    </row>
    <row r="302" spans="3:9" ht="15.75" customHeight="1">
      <c r="C302" s="726" t="s">
        <v>449</v>
      </c>
      <c r="D302" s="707">
        <f t="shared" si="6"/>
        <v>1</v>
      </c>
      <c r="F302" s="707" t="str">
        <f t="array" ref="F302">IFERROR(_xlfn.IFS(D302=0,"",D302=1,C302,TRUE,E302),"")</f>
        <v>Percentage regenerative agriculture drinks</v>
      </c>
      <c r="G302" s="707" t="s">
        <v>587</v>
      </c>
      <c r="I302" s="727" t="s">
        <v>156</v>
      </c>
    </row>
    <row r="303" spans="3:9" ht="15.75" customHeight="1">
      <c r="C303" s="728" t="s">
        <v>451</v>
      </c>
      <c r="D303" s="707">
        <f t="shared" si="6"/>
        <v>1</v>
      </c>
      <c r="F303" s="707" t="str">
        <f t="array" ref="F303">IFERROR(_xlfn.IFS(D303=0,"",D303=1,C303,TRUE,E303),"")</f>
        <v>Percentage local drinks</v>
      </c>
      <c r="G303" s="707" t="s">
        <v>587</v>
      </c>
      <c r="I303" s="734" t="s">
        <v>156</v>
      </c>
    </row>
    <row r="304" spans="3:9" ht="18" customHeight="1">
      <c r="C304" s="793"/>
      <c r="D304" s="707">
        <f t="shared" si="6"/>
        <v>0</v>
      </c>
      <c r="F304" s="707" t="str">
        <f t="array" ref="F304">IFERROR(_xlfn.IFS(D304=0,"",D304=1,C304,TRUE,E304),"")</f>
        <v/>
      </c>
      <c r="I304" s="794"/>
    </row>
    <row r="305" spans="3:9" ht="15.75" customHeight="1">
      <c r="C305" s="732" t="s">
        <v>455</v>
      </c>
      <c r="D305" s="707">
        <f t="shared" si="6"/>
        <v>1</v>
      </c>
      <c r="F305" s="707" t="str">
        <f t="array" ref="F305">IFERROR(_xlfn.IFS(D305=0,"",D305=1,C305,TRUE,E305),"")</f>
        <v>Regular draft beer</v>
      </c>
      <c r="G305" s="707" t="s">
        <v>570</v>
      </c>
      <c r="I305" s="733" t="s">
        <v>91</v>
      </c>
    </row>
    <row r="306" spans="3:9" ht="15.75" customHeight="1">
      <c r="C306" s="726" t="s">
        <v>457</v>
      </c>
      <c r="D306" s="707">
        <f t="shared" si="6"/>
        <v>1</v>
      </c>
      <c r="F306" s="707" t="str">
        <f t="array" ref="F306">IFERROR(_xlfn.IFS(D306=0,"",D306=1,C306,TRUE,E306),"")</f>
        <v>Low emission draft beer (between 0 and 0.32 kg CO2 per litre)</v>
      </c>
      <c r="G306" s="707" t="s">
        <v>570</v>
      </c>
      <c r="I306" s="727" t="s">
        <v>91</v>
      </c>
    </row>
    <row r="307" spans="3:9" ht="15.75" customHeight="1">
      <c r="C307" s="728" t="s">
        <v>459</v>
      </c>
      <c r="D307" s="707">
        <f t="shared" si="6"/>
        <v>1</v>
      </c>
      <c r="F307" s="707" t="str">
        <f t="array" ref="F307">IFERROR(_xlfn.IFS(D307=0,"",D307=1,C307,TRUE,E307),"")</f>
        <v>Zero emission draft beer (net 0 kg CO2 per liter)</v>
      </c>
      <c r="G307" s="707" t="s">
        <v>570</v>
      </c>
      <c r="I307" s="734" t="s">
        <v>91</v>
      </c>
    </row>
    <row r="308" spans="3:9" ht="15.75" customHeight="1">
      <c r="C308" s="709"/>
      <c r="D308" s="707">
        <f t="shared" si="6"/>
        <v>0</v>
      </c>
      <c r="F308" s="707" t="str">
        <f t="array" ref="F308">IFERROR(_xlfn.IFS(D308=0,"",D308=1,C308,TRUE,E308),"")</f>
        <v/>
      </c>
      <c r="G308" s="707" t="s">
        <v>570</v>
      </c>
      <c r="I308" s="709"/>
    </row>
    <row r="309" spans="3:9" ht="15.75" customHeight="1">
      <c r="C309" s="732" t="s">
        <v>461</v>
      </c>
      <c r="D309" s="707">
        <f t="shared" si="6"/>
        <v>1</v>
      </c>
      <c r="F309" s="707" t="str">
        <f t="array" ref="F309">IFERROR(_xlfn.IFS(D309=0,"",D309=1,C309,TRUE,E309),"")</f>
        <v>Regular craft beer</v>
      </c>
      <c r="G309" s="707" t="s">
        <v>570</v>
      </c>
      <c r="I309" s="733" t="s">
        <v>91</v>
      </c>
    </row>
    <row r="310" spans="3:9" ht="15.75" customHeight="1">
      <c r="C310" s="726" t="s">
        <v>463</v>
      </c>
      <c r="D310" s="707">
        <f t="shared" si="6"/>
        <v>1</v>
      </c>
      <c r="F310" s="707" t="str">
        <f t="array" ref="F310">IFERROR(_xlfn.IFS(D310=0,"",D310=1,C310,TRUE,E310),"")</f>
        <v>Low emission craft beer (between 0 and 0.32 kg CO2 per litre)</v>
      </c>
      <c r="G310" s="707" t="s">
        <v>570</v>
      </c>
      <c r="I310" s="727" t="s">
        <v>91</v>
      </c>
    </row>
    <row r="311" spans="3:9" ht="15.75" customHeight="1">
      <c r="C311" s="728" t="s">
        <v>465</v>
      </c>
      <c r="D311" s="707">
        <f t="shared" si="6"/>
        <v>1</v>
      </c>
      <c r="F311" s="707" t="str">
        <f t="array" ref="F311">IFERROR(_xlfn.IFS(D311=0,"",D311=1,C311,TRUE,E311),"")</f>
        <v>Zero emission craft beer (net 0 kg CO2 per litre)</v>
      </c>
      <c r="G311" s="707" t="s">
        <v>570</v>
      </c>
      <c r="I311" s="734" t="s">
        <v>91</v>
      </c>
    </row>
    <row r="312" spans="3:9" ht="15.75" customHeight="1">
      <c r="C312" s="709"/>
      <c r="D312" s="707">
        <f t="shared" si="6"/>
        <v>0</v>
      </c>
      <c r="F312" s="707" t="str">
        <f t="array" ref="F312">IFERROR(_xlfn.IFS(D312=0,"",D312=1,C312,TRUE,E312),"")</f>
        <v/>
      </c>
      <c r="G312" s="707" t="s">
        <v>570</v>
      </c>
      <c r="I312" s="709"/>
    </row>
    <row r="313" spans="3:9" ht="15.75" customHeight="1">
      <c r="C313" s="732" t="s">
        <v>467</v>
      </c>
      <c r="D313" s="707">
        <f t="shared" si="6"/>
        <v>1</v>
      </c>
      <c r="F313" s="707" t="str">
        <f t="array" ref="F313">IFERROR(_xlfn.IFS(D313=0,"",D313=1,C313,TRUE,E313),"")</f>
        <v>Regular coffee</v>
      </c>
      <c r="G313" s="707" t="s">
        <v>570</v>
      </c>
      <c r="I313" s="733" t="s">
        <v>91</v>
      </c>
    </row>
    <row r="314" spans="3:9" ht="15.75" customHeight="1">
      <c r="C314" s="726" t="s">
        <v>589</v>
      </c>
      <c r="D314" s="707">
        <f t="shared" ref="D314:D362" si="9">COUNTIFS(C:C,C314)</f>
        <v>1</v>
      </c>
      <c r="F314" s="707" t="str">
        <f t="array" ref="F314">IFERROR(_xlfn.IFS(D314=0,"",D314=1,C314,TRUE,E314),"")</f>
        <v>Low emission coffee (between 0 and 0.16 kg CO2 per litre)</v>
      </c>
      <c r="G314" s="707" t="s">
        <v>570</v>
      </c>
      <c r="I314" s="727" t="s">
        <v>91</v>
      </c>
    </row>
    <row r="315" spans="3:9" ht="15.75" customHeight="1">
      <c r="C315" s="728" t="s">
        <v>471</v>
      </c>
      <c r="D315" s="707">
        <f t="shared" si="9"/>
        <v>1</v>
      </c>
      <c r="F315" s="707" t="str">
        <f t="array" ref="F315">IFERROR(_xlfn.IFS(D315=0,"",D315=1,C315,TRUE,E315),"")</f>
        <v>Zero emission coffee (net 0 kg CO2 per litre)</v>
      </c>
      <c r="G315" s="707" t="s">
        <v>570</v>
      </c>
      <c r="I315" s="734" t="s">
        <v>91</v>
      </c>
    </row>
    <row r="316" spans="3:9" ht="15.75" customHeight="1">
      <c r="C316" s="709"/>
      <c r="D316" s="707">
        <f t="shared" si="9"/>
        <v>0</v>
      </c>
      <c r="F316" s="707" t="str">
        <f t="array" ref="F316">IFERROR(_xlfn.IFS(D316=0,"",D316=1,C316,TRUE,E316),"")</f>
        <v/>
      </c>
      <c r="G316" s="707" t="s">
        <v>570</v>
      </c>
      <c r="I316" s="709"/>
    </row>
    <row r="317" spans="3:9" ht="15.75" customHeight="1">
      <c r="C317" s="732" t="s">
        <v>473</v>
      </c>
      <c r="D317" s="707">
        <f t="shared" si="9"/>
        <v>1</v>
      </c>
      <c r="F317" s="707" t="str">
        <f t="array" ref="F317">IFERROR(_xlfn.IFS(D317=0,"",D317=1,C317,TRUE,E317),"")</f>
        <v>Regular bottled water</v>
      </c>
      <c r="G317" s="707" t="s">
        <v>570</v>
      </c>
      <c r="I317" s="733" t="s">
        <v>91</v>
      </c>
    </row>
    <row r="318" spans="3:9" ht="15.75" customHeight="1">
      <c r="C318" s="726" t="s">
        <v>475</v>
      </c>
      <c r="D318" s="707">
        <f t="shared" si="9"/>
        <v>1</v>
      </c>
      <c r="F318" s="707" t="str">
        <f t="array" ref="F318">IFERROR(_xlfn.IFS(D318=0,"",D318=1,C318,TRUE,E318),"")</f>
        <v>Low emission bottled water (between 0 and 0.16 kg CO2 per litre)</v>
      </c>
      <c r="G318" s="707" t="s">
        <v>570</v>
      </c>
      <c r="I318" s="727" t="s">
        <v>91</v>
      </c>
    </row>
    <row r="319" spans="3:9" ht="15.75" customHeight="1">
      <c r="C319" s="728" t="s">
        <v>477</v>
      </c>
      <c r="D319" s="707">
        <f t="shared" si="9"/>
        <v>1</v>
      </c>
      <c r="F319" s="707" t="str">
        <f t="array" ref="F319">IFERROR(_xlfn.IFS(D319=0,"",D319=1,C319,TRUE,E319),"")</f>
        <v>Zero emission bottled water (net 0 kg CO2 per litre)</v>
      </c>
      <c r="G319" s="707" t="s">
        <v>570</v>
      </c>
      <c r="I319" s="734" t="s">
        <v>91</v>
      </c>
    </row>
    <row r="320" spans="3:9" ht="15.75" customHeight="1">
      <c r="C320" s="709"/>
      <c r="D320" s="707">
        <f t="shared" si="9"/>
        <v>0</v>
      </c>
      <c r="F320" s="707" t="str">
        <f t="array" ref="F320">IFERROR(_xlfn.IFS(D320=0,"",D320=1,C320,TRUE,E320),"")</f>
        <v/>
      </c>
      <c r="G320" s="707" t="s">
        <v>570</v>
      </c>
      <c r="I320" s="709"/>
    </row>
    <row r="321" spans="3:9" ht="15.75" customHeight="1">
      <c r="C321" s="732" t="s">
        <v>479</v>
      </c>
      <c r="D321" s="707">
        <f t="shared" si="9"/>
        <v>1</v>
      </c>
      <c r="F321" s="707" t="str">
        <f t="array" ref="F321">IFERROR(_xlfn.IFS(D321=0,"",D321=1,C321,TRUE,E321),"")</f>
        <v>Regular soda / soft drinks from bottle / can</v>
      </c>
      <c r="G321" s="707" t="s">
        <v>570</v>
      </c>
      <c r="I321" s="733" t="s">
        <v>91</v>
      </c>
    </row>
    <row r="322" spans="3:9" ht="15.75" customHeight="1">
      <c r="C322" s="726" t="s">
        <v>481</v>
      </c>
      <c r="D322" s="707">
        <f t="shared" si="9"/>
        <v>1</v>
      </c>
      <c r="F322" s="707" t="str">
        <f t="array" ref="F322">IFERROR(_xlfn.IFS(D322=0,"",D322=1,C322,TRUE,E322),"")</f>
        <v>Low emission soda / soft drinks from bottle / can (between 0 and 0.19 kg CO2 per litre)</v>
      </c>
      <c r="G322" s="707" t="s">
        <v>570</v>
      </c>
      <c r="I322" s="727" t="s">
        <v>91</v>
      </c>
    </row>
    <row r="323" spans="3:9" ht="15.75" customHeight="1">
      <c r="C323" s="728" t="s">
        <v>483</v>
      </c>
      <c r="D323" s="707">
        <f t="shared" si="9"/>
        <v>1</v>
      </c>
      <c r="F323" s="707" t="str">
        <f t="array" ref="F323">IFERROR(_xlfn.IFS(D323=0,"",D323=1,C323,TRUE,E323),"")</f>
        <v>Zero emission soda / soft drinks from bottle / can (net 0 kg CO2 per litre)</v>
      </c>
      <c r="G323" s="707" t="s">
        <v>570</v>
      </c>
      <c r="I323" s="734" t="s">
        <v>91</v>
      </c>
    </row>
    <row r="324" spans="3:9" ht="15.75" customHeight="1">
      <c r="C324" s="709"/>
      <c r="D324" s="707">
        <f t="shared" si="9"/>
        <v>0</v>
      </c>
      <c r="F324" s="707" t="str">
        <f t="array" ref="F324">IFERROR(_xlfn.IFS(D324=0,"",D324=1,C324,TRUE,E324),"")</f>
        <v/>
      </c>
      <c r="G324" s="707" t="s">
        <v>570</v>
      </c>
      <c r="I324" s="709"/>
    </row>
    <row r="325" spans="3:9" ht="15.75" customHeight="1">
      <c r="C325" s="732" t="s">
        <v>485</v>
      </c>
      <c r="D325" s="707">
        <f t="shared" si="9"/>
        <v>1</v>
      </c>
      <c r="F325" s="707" t="str">
        <f t="array" ref="F325">IFERROR(_xlfn.IFS(D325=0,"",D325=1,C325,TRUE,E325),"")</f>
        <v>Regular fruit juice</v>
      </c>
      <c r="G325" s="707" t="s">
        <v>570</v>
      </c>
      <c r="I325" s="733" t="s">
        <v>91</v>
      </c>
    </row>
    <row r="326" spans="3:9" ht="15.75" customHeight="1">
      <c r="C326" s="726" t="s">
        <v>487</v>
      </c>
      <c r="D326" s="707">
        <f t="shared" si="9"/>
        <v>1</v>
      </c>
      <c r="F326" s="707" t="str">
        <f t="array" ref="F326">IFERROR(_xlfn.IFS(D326=0,"",D326=1,C326,TRUE,E326),"")</f>
        <v>Low emission fruit juice (between 0 and 1.02 kg CO2 per litre)</v>
      </c>
      <c r="G326" s="707" t="s">
        <v>570</v>
      </c>
      <c r="I326" s="727" t="s">
        <v>91</v>
      </c>
    </row>
    <row r="327" spans="3:9" ht="15.75" customHeight="1">
      <c r="C327" s="728" t="s">
        <v>489</v>
      </c>
      <c r="D327" s="707">
        <f t="shared" si="9"/>
        <v>1</v>
      </c>
      <c r="F327" s="707" t="str">
        <f t="array" ref="F327">IFERROR(_xlfn.IFS(D327=0,"",D327=1,C327,TRUE,E327),"")</f>
        <v>Zero emission fruit juice (net 0 kg CO2 per litre)</v>
      </c>
      <c r="G327" s="707" t="s">
        <v>570</v>
      </c>
      <c r="I327" s="734" t="s">
        <v>91</v>
      </c>
    </row>
    <row r="328" spans="3:9" ht="15.75" customHeight="1">
      <c r="C328" s="709"/>
      <c r="D328" s="707">
        <f t="shared" si="9"/>
        <v>0</v>
      </c>
      <c r="F328" s="707" t="str">
        <f t="array" ref="F328">IFERROR(_xlfn.IFS(D328=0,"",D328=1,C328,TRUE,E328),"")</f>
        <v/>
      </c>
      <c r="G328" s="707" t="s">
        <v>570</v>
      </c>
      <c r="I328" s="709"/>
    </row>
    <row r="329" spans="3:9" ht="15.75" customHeight="1">
      <c r="C329" s="732" t="s">
        <v>491</v>
      </c>
      <c r="D329" s="707">
        <f t="shared" si="9"/>
        <v>1</v>
      </c>
      <c r="F329" s="707" t="str">
        <f t="array" ref="F329">IFERROR(_xlfn.IFS(D329=0,"",D329=1,C329,TRUE,E329),"")</f>
        <v>Regular wine</v>
      </c>
      <c r="G329" s="707" t="s">
        <v>570</v>
      </c>
      <c r="I329" s="733" t="s">
        <v>91</v>
      </c>
    </row>
    <row r="330" spans="3:9" ht="15.75" customHeight="1">
      <c r="C330" s="726" t="s">
        <v>493</v>
      </c>
      <c r="D330" s="707">
        <f t="shared" si="9"/>
        <v>1</v>
      </c>
      <c r="F330" s="707" t="str">
        <f t="array" ref="F330">IFERROR(_xlfn.IFS(D330=0,"",D330=1,C330,TRUE,E330),"")</f>
        <v>Low emission wine (between 0 and 1.41 kg CO2 per litre)</v>
      </c>
      <c r="G330" s="707" t="s">
        <v>570</v>
      </c>
      <c r="I330" s="727" t="s">
        <v>91</v>
      </c>
    </row>
    <row r="331" spans="3:9" ht="15.75" customHeight="1">
      <c r="C331" s="728" t="s">
        <v>495</v>
      </c>
      <c r="D331" s="707">
        <f t="shared" si="9"/>
        <v>1</v>
      </c>
      <c r="F331" s="707" t="str">
        <f t="array" ref="F331">IFERROR(_xlfn.IFS(D331=0,"",D331=1,C331,TRUE,E331),"")</f>
        <v>Zero emission wine (net 0 kg CO2 per litre)</v>
      </c>
      <c r="G331" s="707" t="s">
        <v>570</v>
      </c>
      <c r="I331" s="734" t="s">
        <v>91</v>
      </c>
    </row>
    <row r="332" spans="3:9" ht="15.75" customHeight="1">
      <c r="C332" s="709"/>
      <c r="D332" s="707">
        <f t="shared" si="9"/>
        <v>0</v>
      </c>
      <c r="F332" s="707" t="str">
        <f t="array" ref="F332">IFERROR(_xlfn.IFS(D332=0,"",D332=1,C332,TRUE,E332),"")</f>
        <v/>
      </c>
      <c r="G332" s="707" t="s">
        <v>570</v>
      </c>
      <c r="I332" s="709"/>
    </row>
    <row r="333" spans="3:9" ht="15.75" customHeight="1">
      <c r="C333" s="732" t="s">
        <v>503</v>
      </c>
      <c r="D333" s="707">
        <f t="shared" si="9"/>
        <v>1</v>
      </c>
      <c r="F333" s="707" t="str">
        <f t="array" ref="F333">IFERROR(_xlfn.IFS(D333=0,"",D333=1,C333,TRUE,E333),"")</f>
        <v>Regular mixed drinks</v>
      </c>
      <c r="G333" s="707" t="s">
        <v>570</v>
      </c>
      <c r="I333" s="733" t="s">
        <v>91</v>
      </c>
    </row>
    <row r="334" spans="3:9" ht="15.75" customHeight="1">
      <c r="C334" s="726" t="s">
        <v>505</v>
      </c>
      <c r="D334" s="707">
        <f t="shared" si="9"/>
        <v>1</v>
      </c>
      <c r="F334" s="707" t="str">
        <f t="array" ref="F334">IFERROR(_xlfn.IFS(D334=0,"",D334=1,C334,TRUE,E334),"")</f>
        <v>Low emission mixed drinks (between 0 and 0.52 kg CO2 per litre)</v>
      </c>
      <c r="G334" s="707" t="s">
        <v>570</v>
      </c>
      <c r="I334" s="727" t="s">
        <v>91</v>
      </c>
    </row>
    <row r="335" spans="3:9" ht="15.75" customHeight="1">
      <c r="C335" s="728" t="s">
        <v>507</v>
      </c>
      <c r="D335" s="707">
        <f t="shared" si="9"/>
        <v>1</v>
      </c>
      <c r="F335" s="707" t="str">
        <f t="array" ref="F335">IFERROR(_xlfn.IFS(D335=0,"",D335=1,C335,TRUE,E335),"")</f>
        <v>Zero emission mixed drinks (net 0 kg CO2 per litre)</v>
      </c>
      <c r="G335" s="707" t="s">
        <v>570</v>
      </c>
      <c r="I335" s="734" t="s">
        <v>91</v>
      </c>
    </row>
    <row r="336" spans="3:9" ht="15.75" customHeight="1">
      <c r="C336" s="796"/>
      <c r="D336" s="707">
        <f t="shared" si="9"/>
        <v>0</v>
      </c>
      <c r="F336" s="707" t="str">
        <f t="array" ref="F336">IFERROR(_xlfn.IFS(D336=0,"",D336=1,C336,TRUE,E336),"")</f>
        <v/>
      </c>
      <c r="G336" s="707" t="s">
        <v>570</v>
      </c>
      <c r="I336" s="709"/>
    </row>
    <row r="337" spans="3:9" ht="15.75" customHeight="1">
      <c r="C337" s="732" t="s">
        <v>515</v>
      </c>
      <c r="D337" s="707">
        <f t="shared" si="9"/>
        <v>1</v>
      </c>
      <c r="F337" s="707" t="str">
        <f t="array" ref="F337">IFERROR(_xlfn.IFS(D337=0,"",D337=1,C337,TRUE,E337),"")</f>
        <v>Tea (Only one option; very low emission factor)</v>
      </c>
      <c r="G337" s="707" t="s">
        <v>570</v>
      </c>
      <c r="I337" s="733" t="s">
        <v>91</v>
      </c>
    </row>
    <row r="338" spans="3:9" ht="15.75" customHeight="1">
      <c r="C338" s="726" t="s">
        <v>517</v>
      </c>
      <c r="D338" s="707">
        <f t="shared" si="9"/>
        <v>1</v>
      </c>
      <c r="F338" s="707" t="str">
        <f t="array" ref="F338">IFERROR(_xlfn.IFS(D338=0,"",D338=1,C338,TRUE,E338),"")</f>
        <v>Tap water (as drinking water) (Only one option; very low emission factor)</v>
      </c>
      <c r="G338" s="707" t="s">
        <v>570</v>
      </c>
      <c r="I338" s="727" t="s">
        <v>91</v>
      </c>
    </row>
    <row r="339" spans="3:9" ht="15.75" customHeight="1">
      <c r="C339" s="728" t="s">
        <v>519</v>
      </c>
      <c r="D339" s="707">
        <f t="shared" si="9"/>
        <v>1</v>
      </c>
      <c r="F339" s="707" t="str">
        <f t="array" ref="F339">IFERROR(_xlfn.IFS(D339=0,"",D339=1,C339,TRUE,E339),"")</f>
        <v>Soda / soft drinks from tap water (Only one option; very low emission factor)</v>
      </c>
      <c r="G339" s="707" t="s">
        <v>570</v>
      </c>
      <c r="I339" s="734" t="s">
        <v>91</v>
      </c>
    </row>
    <row r="340" spans="3:9" ht="15.75" customHeight="1">
      <c r="C340" s="709"/>
      <c r="D340" s="707">
        <f t="shared" si="9"/>
        <v>0</v>
      </c>
      <c r="F340" s="707" t="str">
        <f t="array" ref="F340">IFERROR(_xlfn.IFS(D340=0,"",D340=1,C340,TRUE,E340),"")</f>
        <v/>
      </c>
      <c r="I340" s="709"/>
    </row>
    <row r="341" spans="3:9" ht="23.25" customHeight="1">
      <c r="C341" s="797"/>
      <c r="D341" s="707">
        <f t="shared" si="9"/>
        <v>0</v>
      </c>
      <c r="F341" s="707" t="str">
        <f t="array" ref="F341">IFERROR(_xlfn.IFS(D341=0,"",D341=1,C341,TRUE,E341),"")</f>
        <v/>
      </c>
      <c r="I341" s="797"/>
    </row>
    <row r="342" spans="3:9" ht="20.25" customHeight="1">
      <c r="C342" s="798"/>
      <c r="D342" s="707">
        <f t="shared" si="9"/>
        <v>0</v>
      </c>
      <c r="F342" s="707" t="str">
        <f t="array" ref="F342">IFERROR(_xlfn.IFS(D342=0,"",D342=1,C342,TRUE,E342),"")</f>
        <v/>
      </c>
      <c r="I342" s="798"/>
    </row>
    <row r="343" spans="3:9" ht="15.75" customHeight="1">
      <c r="C343" s="709" t="s">
        <v>523</v>
      </c>
      <c r="D343" s="707">
        <f t="shared" si="9"/>
        <v>1</v>
      </c>
      <c r="F343" s="707" t="str">
        <f t="array" ref="F343">IFERROR(_xlfn.IFS(D343=0,"",D343=1,C343,TRUE,E343),"")</f>
        <v>Overnight stays, festivals own campsites</v>
      </c>
      <c r="G343" s="707" t="s">
        <v>570</v>
      </c>
      <c r="I343" s="799" t="s">
        <v>29</v>
      </c>
    </row>
    <row r="344" spans="3:9" ht="20.25" customHeight="1">
      <c r="C344" s="798"/>
      <c r="D344" s="707">
        <f t="shared" si="9"/>
        <v>0</v>
      </c>
      <c r="F344" s="707" t="str">
        <f t="array" ref="F344">IFERROR(_xlfn.IFS(D344=0,"",D344=1,C344,TRUE,E344),"")</f>
        <v/>
      </c>
      <c r="G344" s="707" t="s">
        <v>570</v>
      </c>
      <c r="I344" s="798"/>
    </row>
    <row r="345" spans="3:9" ht="15.75" customHeight="1">
      <c r="C345" s="747" t="s">
        <v>526</v>
      </c>
      <c r="D345" s="707">
        <f t="shared" si="9"/>
        <v>1</v>
      </c>
      <c r="F345" s="707" t="str">
        <f t="array" ref="F345">IFERROR(_xlfn.IFS(D345=0,"",D345=1,C345,TRUE,E345),"")</f>
        <v>Overnight stays, at external REGULAR campsites</v>
      </c>
      <c r="G345" s="707" t="s">
        <v>570</v>
      </c>
      <c r="I345" s="748" t="s">
        <v>29</v>
      </c>
    </row>
    <row r="346" spans="3:9" ht="15.75" customHeight="1">
      <c r="C346" s="749" t="s">
        <v>528</v>
      </c>
      <c r="D346" s="707">
        <f t="shared" si="9"/>
        <v>1</v>
      </c>
      <c r="F346" s="707" t="str">
        <f t="array" ref="F346">IFERROR(_xlfn.IFS(D346=0,"",D346=1,C346,TRUE,E346),"")</f>
        <v>Overnight stays, at external LOW EMISSION campsites (between 0 and 1 kg CO2 per guest per night)</v>
      </c>
      <c r="G346" s="707" t="s">
        <v>570</v>
      </c>
      <c r="I346" s="750" t="s">
        <v>29</v>
      </c>
    </row>
    <row r="347" spans="3:9" ht="15.75" customHeight="1">
      <c r="C347" s="751" t="s">
        <v>530</v>
      </c>
      <c r="D347" s="707">
        <f t="shared" si="9"/>
        <v>1</v>
      </c>
      <c r="F347" s="707" t="str">
        <f t="array" ref="F347">IFERROR(_xlfn.IFS(D347=0,"",D347=1,C347,TRUE,E347),"")</f>
        <v>Overnight stays, at external CLIMATE NEUTRAL campsites (net 0 kg CO2 per guest per night)</v>
      </c>
      <c r="G347" s="707" t="s">
        <v>570</v>
      </c>
      <c r="I347" s="729" t="s">
        <v>29</v>
      </c>
    </row>
    <row r="348" spans="3:9" ht="15.75" customHeight="1">
      <c r="C348" s="749"/>
      <c r="D348" s="707">
        <f t="shared" si="9"/>
        <v>0</v>
      </c>
      <c r="F348" s="707" t="str">
        <f t="array" ref="F348">IFERROR(_xlfn.IFS(D348=0,"",D348=1,C348,TRUE,E348),"")</f>
        <v/>
      </c>
      <c r="G348" s="707" t="s">
        <v>570</v>
      </c>
      <c r="I348" s="749"/>
    </row>
    <row r="349" spans="3:9" ht="15.75" customHeight="1">
      <c r="C349" s="747" t="s">
        <v>532</v>
      </c>
      <c r="D349" s="707">
        <f t="shared" si="9"/>
        <v>1</v>
      </c>
      <c r="F349" s="707" t="str">
        <f t="array" ref="F349">IFERROR(_xlfn.IFS(D349=0,"",D349=1,C349,TRUE,E349),"")</f>
        <v>Overnight stays, REGULAR hotels, holiday houses or apartments</v>
      </c>
      <c r="G349" s="707" t="s">
        <v>570</v>
      </c>
      <c r="I349" s="748" t="s">
        <v>29</v>
      </c>
    </row>
    <row r="350" spans="3:9" ht="15.75" customHeight="1">
      <c r="C350" s="749" t="s">
        <v>534</v>
      </c>
      <c r="D350" s="707">
        <f t="shared" si="9"/>
        <v>1</v>
      </c>
      <c r="F350" s="707" t="str">
        <f t="array" ref="F350">IFERROR(_xlfn.IFS(D350=0,"",D350=1,C350,TRUE,E350),"")</f>
        <v>Overnight stays, LOW EMISSION hotels, holiday houses or apartments (between 0 and 5 kg CO2 per guest per night)</v>
      </c>
      <c r="G350" s="707" t="s">
        <v>570</v>
      </c>
      <c r="I350" s="750" t="s">
        <v>29</v>
      </c>
    </row>
    <row r="351" spans="3:9" ht="15.75" customHeight="1">
      <c r="C351" s="751" t="s">
        <v>536</v>
      </c>
      <c r="D351" s="707">
        <f t="shared" si="9"/>
        <v>1</v>
      </c>
      <c r="F351" s="707" t="str">
        <f t="array" ref="F351">IFERROR(_xlfn.IFS(D351=0,"",D351=1,C351,TRUE,E351),"")</f>
        <v>Overnight stays, CLIMATE NEUTRAL hotels, holiday houses or apartments (net 0 kg CO2 per guest per night)</v>
      </c>
      <c r="G351" s="707" t="s">
        <v>570</v>
      </c>
      <c r="I351" s="729" t="s">
        <v>29</v>
      </c>
    </row>
    <row r="352" spans="3:9" ht="15.75" customHeight="1">
      <c r="C352" s="709"/>
      <c r="D352" s="707">
        <f t="shared" si="9"/>
        <v>0</v>
      </c>
      <c r="F352" s="707" t="str">
        <f t="array" ref="F352">IFERROR(_xlfn.IFS(D352=0,"",D352=1,C352,TRUE,E352),"")</f>
        <v/>
      </c>
      <c r="I352" s="709"/>
    </row>
    <row r="353" spans="3:9" ht="23.25" customHeight="1">
      <c r="C353" s="800"/>
      <c r="D353" s="707">
        <f t="shared" si="9"/>
        <v>0</v>
      </c>
      <c r="F353" s="707" t="str">
        <f t="array" ref="F353">IFERROR(_xlfn.IFS(D353=0,"",D353=1,C353,TRUE,E353),"")</f>
        <v/>
      </c>
      <c r="I353" s="801"/>
    </row>
    <row r="354" spans="3:9" ht="189" customHeight="1">
      <c r="C354" s="802" t="s">
        <v>590</v>
      </c>
      <c r="D354" s="707" t="e">
        <f t="shared" si="9"/>
        <v>#VALUE!</v>
      </c>
      <c r="F354" s="707" t="str">
        <f t="array" ref="F354">IFERROR(_xlfn.IFS(D354=0,"",D354=1,C354,TRUE,E354),"")</f>
        <v/>
      </c>
      <c r="I354" s="803"/>
    </row>
    <row r="355" spans="3:9" ht="15.75" customHeight="1">
      <c r="C355" s="732" t="s">
        <v>540</v>
      </c>
      <c r="D355" s="707">
        <f t="shared" si="9"/>
        <v>1</v>
      </c>
      <c r="F355" s="707" t="str">
        <f t="array" ref="F355">IFERROR(_xlfn.IFS(D355=0,"",D355=1,C355,TRUE,E355),"")</f>
        <v>CO2e emissions PER VIEW of the MAIN FESTIVAL WEBSITE(s)</v>
      </c>
      <c r="G355" s="707" t="s">
        <v>570</v>
      </c>
      <c r="I355" s="733" t="s">
        <v>541</v>
      </c>
    </row>
    <row r="356" spans="3:9" ht="15.75" customHeight="1">
      <c r="C356" s="732" t="s">
        <v>543</v>
      </c>
      <c r="D356" s="707">
        <f t="shared" si="9"/>
        <v>1</v>
      </c>
      <c r="F356" s="707" t="str">
        <f t="array" ref="F356">IFERROR(_xlfn.IFS(D356=0,"",D356=1,C356,TRUE,E356),"")</f>
        <v>Number of VIEWS OF MAIN FESTIVAL WEBSITE(s)</v>
      </c>
      <c r="G356" s="707" t="s">
        <v>570</v>
      </c>
      <c r="I356" s="733" t="s">
        <v>544</v>
      </c>
    </row>
    <row r="357" spans="3:9" ht="15.75" customHeight="1">
      <c r="C357" s="732" t="s">
        <v>546</v>
      </c>
      <c r="D357" s="707">
        <f t="shared" si="9"/>
        <v>1</v>
      </c>
      <c r="F357" s="707" t="str">
        <f t="array" ref="F357">IFERROR(_xlfn.IFS(D357=0,"",D357=1,C357,TRUE,E357),"")</f>
        <v>Number of EMAILS sent</v>
      </c>
      <c r="G357" s="707" t="s">
        <v>570</v>
      </c>
      <c r="I357" s="733" t="s">
        <v>547</v>
      </c>
    </row>
    <row r="358" spans="3:9" ht="15.75" customHeight="1">
      <c r="C358" s="732" t="s">
        <v>549</v>
      </c>
      <c r="D358" s="707">
        <f t="shared" si="9"/>
        <v>1</v>
      </c>
      <c r="F358" s="707" t="str">
        <f t="array" ref="F358">IFERROR(_xlfn.IFS(D358=0,"",D358=1,C358,TRUE,E358),"")</f>
        <v>Number of APP SESSIONS</v>
      </c>
      <c r="G358" s="707" t="s">
        <v>570</v>
      </c>
      <c r="I358" s="733" t="s">
        <v>550</v>
      </c>
    </row>
    <row r="359" spans="3:9" ht="15.75" customHeight="1">
      <c r="C359" s="732" t="s">
        <v>552</v>
      </c>
      <c r="D359" s="707">
        <f t="shared" si="9"/>
        <v>1</v>
      </c>
      <c r="F359" s="707" t="str">
        <f t="array" ref="F359">IFERROR(_xlfn.IFS(D359=0,"",D359=1,C359,TRUE,E359),"")</f>
        <v>Number of views on SOCIAL MEDIA</v>
      </c>
      <c r="G359" s="707" t="s">
        <v>570</v>
      </c>
      <c r="I359" s="733" t="s">
        <v>553</v>
      </c>
    </row>
    <row r="360" spans="3:9" ht="15.75" customHeight="1">
      <c r="C360" s="804" t="s">
        <v>555</v>
      </c>
      <c r="D360" s="707">
        <f t="shared" si="9"/>
        <v>1</v>
      </c>
      <c r="F360" s="707" t="str">
        <f t="array" ref="F360">IFERROR(_xlfn.IFS(D360=0,"",D360=1,C360,TRUE,E360),"")</f>
        <v xml:space="preserve">Amount of STORED DATA </v>
      </c>
      <c r="I360" s="804" t="s">
        <v>556</v>
      </c>
    </row>
    <row r="361" spans="3:9" ht="23.25" customHeight="1">
      <c r="C361" s="805"/>
      <c r="D361" s="707">
        <f t="shared" si="9"/>
        <v>0</v>
      </c>
      <c r="F361" s="707" t="str">
        <f t="array" ref="F361">IFERROR(_xlfn.IFS(D361=0,"",D361=1,C361,TRUE,E361),"")</f>
        <v/>
      </c>
      <c r="I361" s="806"/>
    </row>
    <row r="362" spans="3:9" ht="16.5" customHeight="1" thickBot="1">
      <c r="C362" s="807" t="s">
        <v>559</v>
      </c>
      <c r="D362" s="707">
        <f t="shared" si="9"/>
        <v>1</v>
      </c>
      <c r="F362" s="707" t="str">
        <f t="array" ref="F362">IFERROR(_xlfn.IFS(D362=0,"",D362=1,C362,TRUE,E362),"")</f>
        <v>Carbon removal</v>
      </c>
      <c r="G362" s="707" t="s">
        <v>584</v>
      </c>
      <c r="I362" s="808" t="s">
        <v>386</v>
      </c>
    </row>
    <row r="363" spans="3:9" ht="15.75" customHeight="1">
      <c r="I363" s="720"/>
    </row>
    <row r="375" spans="3:9" ht="15.75" customHeight="1">
      <c r="C375" s="809"/>
      <c r="I375" s="80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CC47C-9242-4706-B6F1-E8762B9F7F1C}">
  <sheetPr codeName="Sheet9"/>
  <dimension ref="A1:G266"/>
  <sheetViews>
    <sheetView topLeftCell="A223" workbookViewId="0">
      <selection activeCell="B246" sqref="B246:B248"/>
    </sheetView>
  </sheetViews>
  <sheetFormatPr baseColWidth="10" defaultColWidth="8.83203125" defaultRowHeight="16"/>
  <cols>
    <col min="1" max="1" width="16.83203125" bestFit="1" customWidth="1"/>
    <col min="2" max="2" width="97.6640625" bestFit="1" customWidth="1"/>
    <col min="3" max="3" width="14.1640625" customWidth="1"/>
    <col min="4" max="5" width="19.83203125" customWidth="1"/>
    <col min="7" max="7" width="28.6640625" bestFit="1" customWidth="1"/>
  </cols>
  <sheetData>
    <row r="1" spans="1:7">
      <c r="A1" s="705" t="s">
        <v>567</v>
      </c>
      <c r="B1" s="705" t="s">
        <v>1</v>
      </c>
      <c r="C1" s="705"/>
      <c r="D1" s="705" t="s">
        <v>969</v>
      </c>
      <c r="E1" s="705" t="s">
        <v>970</v>
      </c>
      <c r="G1" s="813" t="s">
        <v>1600</v>
      </c>
    </row>
    <row r="2" spans="1:7">
      <c r="A2" t="str">
        <f>'Input sheet'!$D$18&amp;'Input sheet'!$D$19</f>
        <v/>
      </c>
      <c r="B2" t="s">
        <v>23</v>
      </c>
      <c r="D2">
        <f>_xlfn.XLOOKUP($B2,'Input sheet'!$C:$C,'Input sheet'!D:D,"Manual")</f>
        <v>0</v>
      </c>
      <c r="E2" t="str">
        <f>_xlfn.XLOOKUP($B2,'Input sheet'!$C:$C,'Input sheet'!E:E,"Manual")</f>
        <v>name</v>
      </c>
    </row>
    <row r="3" spans="1:7">
      <c r="A3" t="str">
        <f>'Input sheet'!$D$18&amp;'Input sheet'!$D$19</f>
        <v/>
      </c>
      <c r="B3" t="s">
        <v>26</v>
      </c>
      <c r="D3">
        <f>_xlfn.XLOOKUP(B3,'Input sheet'!C:C,'Input sheet'!D:D,"Manual")</f>
        <v>0</v>
      </c>
      <c r="E3" t="str">
        <f>_xlfn.XLOOKUP($B3,'Input sheet'!$C:$C,'Input sheet'!E:E,"Manual")</f>
        <v xml:space="preserve">dd-mm-yyyy </v>
      </c>
    </row>
    <row r="4" spans="1:7">
      <c r="A4" t="str">
        <f>'Input sheet'!$D$18&amp;'Input sheet'!$D$19</f>
        <v/>
      </c>
      <c r="B4" t="s">
        <v>28</v>
      </c>
      <c r="D4">
        <f>_xlfn.XLOOKUP(B4,'Input sheet'!C:C,'Input sheet'!D:D,"Manual")</f>
        <v>0</v>
      </c>
      <c r="E4" t="str">
        <f>_xlfn.XLOOKUP($B4,'Input sheet'!$C:$C,'Input sheet'!E:E,"Manual")</f>
        <v>amount</v>
      </c>
    </row>
    <row r="5" spans="1:7">
      <c r="A5" t="str">
        <f>'Input sheet'!$D$18&amp;'Input sheet'!$D$19</f>
        <v/>
      </c>
      <c r="B5" t="s">
        <v>31</v>
      </c>
      <c r="D5">
        <f>_xlfn.XLOOKUP(B5,'Input sheet'!C:C,'Input sheet'!D:D,"Manual")</f>
        <v>0</v>
      </c>
      <c r="E5" t="str">
        <f>_xlfn.XLOOKUP($B5,'Input sheet'!$C:$C,'Input sheet'!E:E,"Manual")</f>
        <v>name</v>
      </c>
    </row>
    <row r="6" spans="1:7">
      <c r="A6" t="str">
        <f>'Input sheet'!$D$18&amp;'Input sheet'!$D$19</f>
        <v/>
      </c>
      <c r="B6" t="s">
        <v>33</v>
      </c>
      <c r="D6">
        <f>_xlfn.XLOOKUP(B6,'Input sheet'!C:C,'Input sheet'!D:D,"Manual")</f>
        <v>0</v>
      </c>
      <c r="E6" t="str">
        <f>_xlfn.XLOOKUP($B6,'Input sheet'!$C:$C,'Input sheet'!E:E,"Manual")</f>
        <v>country name</v>
      </c>
    </row>
    <row r="7" spans="1:7">
      <c r="A7" t="str">
        <f>'Input sheet'!$D$18&amp;'Input sheet'!$D$19</f>
        <v/>
      </c>
      <c r="B7" t="s">
        <v>37</v>
      </c>
      <c r="D7">
        <f>_xlfn.XLOOKUP(B7,'Input sheet'!C:C,'Input sheet'!D:D,"Manual")</f>
        <v>0</v>
      </c>
      <c r="E7" t="str">
        <f>_xlfn.XLOOKUP($B7,'Input sheet'!$C:$C,'Input sheet'!E:E,"Manual")</f>
        <v>List of options</v>
      </c>
    </row>
    <row r="8" spans="1:7">
      <c r="A8" t="str">
        <f>'Input sheet'!$D$18&amp;'Input sheet'!$D$19</f>
        <v/>
      </c>
      <c r="B8" t="s">
        <v>39</v>
      </c>
      <c r="D8">
        <f>_xlfn.XLOOKUP(B8,'Input sheet'!C:C,'Input sheet'!D:D,"Manual")</f>
        <v>0</v>
      </c>
      <c r="E8" t="str">
        <f>_xlfn.XLOOKUP($B8,'Input sheet'!$C:$C,'Input sheet'!E:E,"Manual")</f>
        <v>List of options</v>
      </c>
    </row>
    <row r="9" spans="1:7">
      <c r="A9" t="str">
        <f>'Input sheet'!$D$18&amp;'Input sheet'!$D$19</f>
        <v/>
      </c>
      <c r="B9" t="s">
        <v>41</v>
      </c>
      <c r="D9">
        <f>_xlfn.XLOOKUP(B9,'Input sheet'!C:C,'Input sheet'!D:D,"Manual")</f>
        <v>0</v>
      </c>
      <c r="E9" t="str">
        <f>_xlfn.XLOOKUP($B9,'Input sheet'!$C:$C,'Input sheet'!E:E,"Manual")</f>
        <v>List of options</v>
      </c>
    </row>
    <row r="10" spans="1:7">
      <c r="A10" t="str">
        <f>'Input sheet'!$D$18&amp;'Input sheet'!$D$19</f>
        <v/>
      </c>
      <c r="B10" t="s">
        <v>42</v>
      </c>
      <c r="D10">
        <f>_xlfn.XLOOKUP(B10,'Input sheet'!C:C,'Input sheet'!D:D,"Manual")</f>
        <v>0</v>
      </c>
      <c r="E10" t="str">
        <f>_xlfn.XLOOKUP($B10,'Input sheet'!$C:$C,'Input sheet'!E:E,"Manual")</f>
        <v>List of options</v>
      </c>
    </row>
    <row r="11" spans="1:7">
      <c r="A11" t="str">
        <f>'Input sheet'!$D$18&amp;'Input sheet'!$D$19</f>
        <v/>
      </c>
      <c r="B11" t="s">
        <v>43</v>
      </c>
      <c r="D11">
        <f>_xlfn.XLOOKUP(B11,'Input sheet'!C:C,'Input sheet'!D:D,"Manual")</f>
        <v>0</v>
      </c>
      <c r="E11" t="str">
        <f>_xlfn.XLOOKUP($B11,'Input sheet'!$C:$C,'Input sheet'!E:E,"Manual")</f>
        <v>List of options</v>
      </c>
    </row>
    <row r="12" spans="1:7">
      <c r="A12" t="str">
        <f>'Input sheet'!$D$18&amp;'Input sheet'!$D$19</f>
        <v/>
      </c>
      <c r="B12" t="s">
        <v>44</v>
      </c>
      <c r="D12">
        <f>_xlfn.XLOOKUP(B12,'Input sheet'!C:C,'Input sheet'!D:D,"Manual")</f>
        <v>0</v>
      </c>
      <c r="E12" t="str">
        <f>_xlfn.XLOOKUP($B12,'Input sheet'!$C:$C,'Input sheet'!E:E,"Manual")</f>
        <v>°C</v>
      </c>
    </row>
    <row r="13" spans="1:7">
      <c r="A13" t="str">
        <f>'Input sheet'!$D$18&amp;'Input sheet'!$D$19</f>
        <v/>
      </c>
      <c r="B13" t="s">
        <v>48</v>
      </c>
      <c r="D13">
        <f>_xlfn.XLOOKUP(B13,'Input sheet'!C:C,'Input sheet'!D:D,"Manual")</f>
        <v>0</v>
      </c>
      <c r="E13" t="str">
        <f>_xlfn.XLOOKUP($B13,'Input sheet'!$C:$C,'Input sheet'!E:E,"Manual")</f>
        <v>amount</v>
      </c>
    </row>
    <row r="14" spans="1:7">
      <c r="A14" t="str">
        <f>'Input sheet'!$D$18&amp;'Input sheet'!$D$19</f>
        <v/>
      </c>
      <c r="B14" t="s">
        <v>49</v>
      </c>
      <c r="D14">
        <f>_xlfn.XLOOKUP(B14,'Input sheet'!C:C,'Input sheet'!D:D,"Manual")</f>
        <v>0</v>
      </c>
      <c r="E14" t="str">
        <f>_xlfn.XLOOKUP($B14,'Input sheet'!$C:$C,'Input sheet'!E:E,"Manual")</f>
        <v>amount</v>
      </c>
    </row>
    <row r="15" spans="1:7">
      <c r="A15" t="str">
        <f>'Input sheet'!$D$18&amp;'Input sheet'!$D$19</f>
        <v/>
      </c>
      <c r="B15" t="s">
        <v>51</v>
      </c>
      <c r="D15">
        <f>_xlfn.XLOOKUP(B15,'Input sheet'!C:C,'Input sheet'!D:D,"Manual")</f>
        <v>0</v>
      </c>
      <c r="E15" t="str">
        <f>_xlfn.XLOOKUP($B15,'Input sheet'!$C:$C,'Input sheet'!E:E,"Manual")</f>
        <v>amount</v>
      </c>
    </row>
    <row r="16" spans="1:7">
      <c r="A16" t="str">
        <f>'Input sheet'!$D$18&amp;'Input sheet'!$D$19</f>
        <v/>
      </c>
      <c r="B16" t="s">
        <v>53</v>
      </c>
      <c r="D16">
        <f>_xlfn.XLOOKUP(B16,'Input sheet'!C:C,'Input sheet'!D:D,"Manual")</f>
        <v>0</v>
      </c>
      <c r="E16" t="str">
        <f>_xlfn.XLOOKUP($B16,'Input sheet'!$C:$C,'Input sheet'!E:E,"Manual")</f>
        <v>amount</v>
      </c>
    </row>
    <row r="17" spans="1:5">
      <c r="A17" t="str">
        <f>'Input sheet'!$D$18&amp;'Input sheet'!$D$19</f>
        <v/>
      </c>
      <c r="B17" t="s">
        <v>55</v>
      </c>
      <c r="D17">
        <f>_xlfn.XLOOKUP(B17,'Input sheet'!C:C,'Input sheet'!D:D,"Manual")</f>
        <v>0</v>
      </c>
      <c r="E17" t="str">
        <f>_xlfn.XLOOKUP($B17,'Input sheet'!$C:$C,'Input sheet'!E:E,"Manual")</f>
        <v>amount</v>
      </c>
    </row>
    <row r="18" spans="1:5">
      <c r="A18" t="str">
        <f>'Input sheet'!$D$18&amp;'Input sheet'!$D$19</f>
        <v/>
      </c>
      <c r="B18" t="s">
        <v>57</v>
      </c>
      <c r="D18">
        <f>_xlfn.XLOOKUP(B18,'Input sheet'!C:C,'Input sheet'!D:D,"Manual")</f>
        <v>0</v>
      </c>
      <c r="E18" t="str">
        <f>_xlfn.XLOOKUP($B18,'Input sheet'!$C:$C,'Input sheet'!E:E,"Manual")</f>
        <v>amount</v>
      </c>
    </row>
    <row r="19" spans="1:5">
      <c r="A19" t="str">
        <f>'Input sheet'!$D$18&amp;'Input sheet'!$D$19</f>
        <v/>
      </c>
      <c r="B19" t="s">
        <v>59</v>
      </c>
      <c r="D19">
        <f>_xlfn.XLOOKUP(B19,'Input sheet'!C:C,'Input sheet'!D:D,"Manual")</f>
        <v>0</v>
      </c>
      <c r="E19" t="str">
        <f>_xlfn.XLOOKUP($B19,'Input sheet'!$C:$C,'Input sheet'!E:E,"Manual")</f>
        <v>amount</v>
      </c>
    </row>
    <row r="20" spans="1:5">
      <c r="A20" t="str">
        <f>'Input sheet'!$D$18&amp;'Input sheet'!$D$19</f>
        <v/>
      </c>
      <c r="B20" t="s">
        <v>61</v>
      </c>
      <c r="D20">
        <f>_xlfn.XLOOKUP(B20,'Input sheet'!C:C,'Input sheet'!D:D,"Manual")</f>
        <v>0</v>
      </c>
      <c r="E20" t="str">
        <f>_xlfn.XLOOKUP($B20,'Input sheet'!$C:$C,'Input sheet'!E:E,"Manual")</f>
        <v>amount</v>
      </c>
    </row>
    <row r="21" spans="1:5">
      <c r="A21" t="str">
        <f>'Input sheet'!$D$18&amp;'Input sheet'!$D$19</f>
        <v/>
      </c>
      <c r="B21" t="s">
        <v>63</v>
      </c>
      <c r="D21">
        <f>_xlfn.XLOOKUP(B21,'Input sheet'!C:C,'Input sheet'!D:D,"Manual")</f>
        <v>0</v>
      </c>
      <c r="E21" t="str">
        <f>_xlfn.XLOOKUP($B21,'Input sheet'!$C:$C,'Input sheet'!E:E,"Manual")</f>
        <v>amount</v>
      </c>
    </row>
    <row r="22" spans="1:5">
      <c r="A22" t="str">
        <f>'Input sheet'!$D$18&amp;'Input sheet'!$D$19</f>
        <v/>
      </c>
      <c r="B22" t="s">
        <v>65</v>
      </c>
      <c r="D22">
        <f>_xlfn.XLOOKUP(B22,'Input sheet'!C:C,'Input sheet'!D:D,"Manual")</f>
        <v>0</v>
      </c>
      <c r="E22" t="str">
        <f>_xlfn.XLOOKUP($B22,'Input sheet'!$C:$C,'Input sheet'!E:E,"Manual")</f>
        <v>amount</v>
      </c>
    </row>
    <row r="23" spans="1:5">
      <c r="A23" t="str">
        <f>'Input sheet'!$D$18&amp;'Input sheet'!$D$19</f>
        <v/>
      </c>
      <c r="B23" t="s">
        <v>67</v>
      </c>
      <c r="D23">
        <f>_xlfn.XLOOKUP(B23,'Input sheet'!C:C,'Input sheet'!D:D,"Manual")</f>
        <v>0</v>
      </c>
      <c r="E23" t="str">
        <f>_xlfn.XLOOKUP($B23,'Input sheet'!$C:$C,'Input sheet'!E:E,"Manual")</f>
        <v>amount</v>
      </c>
    </row>
    <row r="24" spans="1:5">
      <c r="A24" t="str">
        <f>'Input sheet'!$D$18&amp;'Input sheet'!$D$19</f>
        <v/>
      </c>
      <c r="B24" t="s">
        <v>70</v>
      </c>
      <c r="D24">
        <f>_xlfn.XLOOKUP(B24,'Input sheet'!C:C,'Input sheet'!D:D,"Manual")</f>
        <v>0</v>
      </c>
      <c r="E24" t="str">
        <f>_xlfn.XLOOKUP($B24,'Input sheet'!$C:$C,'Input sheet'!E:E,"Manual")</f>
        <v>amount</v>
      </c>
    </row>
    <row r="25" spans="1:5">
      <c r="A25" t="str">
        <f>'Input sheet'!$D$18&amp;'Input sheet'!$D$19</f>
        <v/>
      </c>
      <c r="B25" t="s">
        <v>72</v>
      </c>
      <c r="D25">
        <f>_xlfn.XLOOKUP(B25,'Input sheet'!C:C,'Input sheet'!D:D,"Manual")</f>
        <v>0</v>
      </c>
      <c r="E25" t="str">
        <f>_xlfn.XLOOKUP($B25,'Input sheet'!$C:$C,'Input sheet'!E:E,"Manual")</f>
        <v>amount</v>
      </c>
    </row>
    <row r="26" spans="1:5">
      <c r="A26" t="str">
        <f>'Input sheet'!$D$18&amp;'Input sheet'!$D$19</f>
        <v/>
      </c>
      <c r="B26" t="s">
        <v>74</v>
      </c>
      <c r="D26">
        <f>_xlfn.XLOOKUP(B26,'Input sheet'!C:C,'Input sheet'!D:D,"Manual")</f>
        <v>0</v>
      </c>
      <c r="E26" t="str">
        <f>_xlfn.XLOOKUP($B26,'Input sheet'!$C:$C,'Input sheet'!E:E,"Manual")</f>
        <v>amount</v>
      </c>
    </row>
    <row r="27" spans="1:5">
      <c r="A27" t="str">
        <f>'Input sheet'!$D$18&amp;'Input sheet'!$D$19</f>
        <v/>
      </c>
      <c r="B27" s="704" t="s">
        <v>971</v>
      </c>
      <c r="D27" t="str">
        <f>_xlfn.XLOOKUP(B27,'Input sheet'!C:C,'Input sheet'!D:D,"Manual")</f>
        <v>Manual</v>
      </c>
      <c r="E27" t="str">
        <f>_xlfn.XLOOKUP($B27,'Input sheet'!$C:$C,'Input sheet'!E:E,"Manual")</f>
        <v>Manual</v>
      </c>
    </row>
    <row r="28" spans="1:5">
      <c r="A28" t="str">
        <f>'Input sheet'!$D$18&amp;'Input sheet'!$D$19</f>
        <v/>
      </c>
      <c r="B28" t="s">
        <v>78</v>
      </c>
      <c r="D28">
        <f>_xlfn.XLOOKUP(B28,'Input sheet'!C:C,'Input sheet'!D:D,"Manual")</f>
        <v>0</v>
      </c>
      <c r="E28" t="str">
        <f>_xlfn.XLOOKUP($B28,'Input sheet'!$C:$C,'Input sheet'!E:E,"Manual")</f>
        <v>kWh</v>
      </c>
    </row>
    <row r="29" spans="1:5">
      <c r="A29" t="str">
        <f>'Input sheet'!$D$18&amp;'Input sheet'!$D$19</f>
        <v/>
      </c>
      <c r="B29" t="s">
        <v>81</v>
      </c>
      <c r="D29">
        <f>_xlfn.XLOOKUP(B29,'Input sheet'!C:C,'Input sheet'!D:D,"Manual")</f>
        <v>0</v>
      </c>
      <c r="E29" t="str">
        <f>_xlfn.XLOOKUP($B29,'Input sheet'!$C:$C,'Input sheet'!E:E,"Manual")</f>
        <v>kWh</v>
      </c>
    </row>
    <row r="30" spans="1:5">
      <c r="A30" t="str">
        <f>'Input sheet'!$D$18&amp;'Input sheet'!$D$19</f>
        <v/>
      </c>
      <c r="B30" t="s">
        <v>83</v>
      </c>
      <c r="D30">
        <f>_xlfn.XLOOKUP(B30,'Input sheet'!C:C,'Input sheet'!D:D,"Manual")</f>
        <v>0</v>
      </c>
      <c r="E30" t="str">
        <f>_xlfn.XLOOKUP($B30,'Input sheet'!$C:$C,'Input sheet'!E:E,"Manual")</f>
        <v>kWh</v>
      </c>
    </row>
    <row r="31" spans="1:5">
      <c r="A31" t="str">
        <f>'Input sheet'!$D$18&amp;'Input sheet'!$D$19</f>
        <v/>
      </c>
      <c r="B31" t="s">
        <v>85</v>
      </c>
      <c r="D31">
        <f>_xlfn.XLOOKUP(B31,'Input sheet'!C:C,'Input sheet'!D:D,"Manual")</f>
        <v>0</v>
      </c>
      <c r="E31" t="str">
        <f>_xlfn.XLOOKUP($B31,'Input sheet'!$C:$C,'Input sheet'!E:E,"Manual")</f>
        <v>kWh</v>
      </c>
    </row>
    <row r="32" spans="1:5">
      <c r="A32" t="str">
        <f>'Input sheet'!$D$18&amp;'Input sheet'!$D$19</f>
        <v/>
      </c>
      <c r="B32" t="s">
        <v>87</v>
      </c>
      <c r="D32">
        <f>_xlfn.XLOOKUP(B32,'Input sheet'!C:C,'Input sheet'!D:D,"Manual")</f>
        <v>0</v>
      </c>
      <c r="E32" t="str">
        <f>_xlfn.XLOOKUP($B32,'Input sheet'!$C:$C,'Input sheet'!E:E,"Manual")</f>
        <v>kWh</v>
      </c>
    </row>
    <row r="33" spans="1:5">
      <c r="A33" t="str">
        <f>'Input sheet'!$D$18&amp;'Input sheet'!$D$19</f>
        <v/>
      </c>
      <c r="B33" t="s">
        <v>90</v>
      </c>
      <c r="D33">
        <f>_xlfn.XLOOKUP(B33,'Input sheet'!C:C,'Input sheet'!D:D,"Manual")</f>
        <v>0</v>
      </c>
      <c r="E33" t="str">
        <f>_xlfn.XLOOKUP($B33,'Input sheet'!$C:$C,'Input sheet'!E:E,"Manual")</f>
        <v>litres</v>
      </c>
    </row>
    <row r="34" spans="1:5">
      <c r="A34" t="str">
        <f>'Input sheet'!$D$18&amp;'Input sheet'!$D$19</f>
        <v/>
      </c>
      <c r="B34" t="s">
        <v>93</v>
      </c>
      <c r="D34">
        <f>_xlfn.XLOOKUP(B34,'Input sheet'!C:C,'Input sheet'!D:D,"Manual")</f>
        <v>0</v>
      </c>
      <c r="E34" t="str">
        <f>_xlfn.XLOOKUP($B34,'Input sheet'!$C:$C,'Input sheet'!E:E,"Manual")</f>
        <v>litres</v>
      </c>
    </row>
    <row r="35" spans="1:5">
      <c r="A35" t="str">
        <f>'Input sheet'!$D$18&amp;'Input sheet'!$D$19</f>
        <v/>
      </c>
      <c r="B35" t="s">
        <v>95</v>
      </c>
      <c r="D35">
        <f>_xlfn.XLOOKUP(B35,'Input sheet'!C:C,'Input sheet'!D:D,"Manual")</f>
        <v>0</v>
      </c>
      <c r="E35" t="str">
        <f>_xlfn.XLOOKUP($B35,'Input sheet'!$C:$C,'Input sheet'!E:E,"Manual")</f>
        <v>kg</v>
      </c>
    </row>
    <row r="36" spans="1:5">
      <c r="A36" t="str">
        <f>'Input sheet'!$D$18&amp;'Input sheet'!$D$19</f>
        <v/>
      </c>
      <c r="B36" t="s">
        <v>98</v>
      </c>
      <c r="D36">
        <f>_xlfn.XLOOKUP(B36,'Input sheet'!C:C,'Input sheet'!D:D,"Manual")</f>
        <v>0</v>
      </c>
      <c r="E36" t="str">
        <f>_xlfn.XLOOKUP($B36,'Input sheet'!$C:$C,'Input sheet'!E:E,"Manual")</f>
        <v>kg</v>
      </c>
    </row>
    <row r="37" spans="1:5">
      <c r="A37" t="str">
        <f>'Input sheet'!$D$18&amp;'Input sheet'!$D$19</f>
        <v/>
      </c>
      <c r="B37" t="s">
        <v>100</v>
      </c>
      <c r="D37">
        <f>_xlfn.XLOOKUP(B37,'Input sheet'!C:C,'Input sheet'!D:D,"Manual")</f>
        <v>0</v>
      </c>
      <c r="E37" t="str">
        <f>_xlfn.XLOOKUP($B37,'Input sheet'!$C:$C,'Input sheet'!E:E,"Manual")</f>
        <v>Nm3</v>
      </c>
    </row>
    <row r="38" spans="1:5">
      <c r="A38" t="str">
        <f>'Input sheet'!$D$18&amp;'Input sheet'!$D$19</f>
        <v/>
      </c>
      <c r="B38" t="s">
        <v>103</v>
      </c>
      <c r="D38">
        <f>_xlfn.XLOOKUP(B38,'Input sheet'!C:C,'Input sheet'!D:D,"Manual")</f>
        <v>0</v>
      </c>
      <c r="E38" t="str">
        <f>_xlfn.XLOOKUP($B38,'Input sheet'!$C:$C,'Input sheet'!E:E,"Manual")</f>
        <v>kg</v>
      </c>
    </row>
    <row r="39" spans="1:5">
      <c r="A39" t="str">
        <f>'Input sheet'!$D$18&amp;'Input sheet'!$D$19</f>
        <v/>
      </c>
      <c r="B39" t="s">
        <v>105</v>
      </c>
      <c r="D39">
        <f>_xlfn.XLOOKUP(B39,'Input sheet'!C:C,'Input sheet'!D:D,"Manual")</f>
        <v>0</v>
      </c>
      <c r="E39" t="str">
        <f>_xlfn.XLOOKUP($B39,'Input sheet'!$C:$C,'Input sheet'!E:E,"Manual")</f>
        <v>kg</v>
      </c>
    </row>
    <row r="40" spans="1:5">
      <c r="A40" t="str">
        <f>'Input sheet'!$D$18&amp;'Input sheet'!$D$19</f>
        <v/>
      </c>
      <c r="B40" s="704" t="s">
        <v>971</v>
      </c>
      <c r="C40" s="8"/>
      <c r="D40" t="str">
        <f>_xlfn.XLOOKUP(B40,'Input sheet'!C:C,'Input sheet'!D:D,"Manual")</f>
        <v>Manual</v>
      </c>
      <c r="E40" t="str">
        <f>_xlfn.XLOOKUP($B40,'Input sheet'!$C:$C,'Input sheet'!E:E,"Manual")</f>
        <v>Manual</v>
      </c>
    </row>
    <row r="41" spans="1:5">
      <c r="A41" t="str">
        <f>'Input sheet'!$D$18&amp;'Input sheet'!$D$19</f>
        <v/>
      </c>
      <c r="B41" s="8" t="s">
        <v>113</v>
      </c>
      <c r="C41" s="8"/>
      <c r="D41">
        <f>_xlfn.XLOOKUP(B41,'Input sheet'!C:C,'Input sheet'!D:D,"Manual")</f>
        <v>0</v>
      </c>
      <c r="E41" t="str">
        <f>_xlfn.XLOOKUP($B41,'Input sheet'!$C:$C,'Input sheet'!E:E,"Manual")</f>
        <v>kg</v>
      </c>
    </row>
    <row r="42" spans="1:5">
      <c r="A42" t="str">
        <f>'Input sheet'!$D$18&amp;'Input sheet'!$D$19</f>
        <v/>
      </c>
      <c r="B42" s="8" t="s">
        <v>115</v>
      </c>
      <c r="C42" s="8"/>
      <c r="D42">
        <f>_xlfn.XLOOKUP(B42,'Input sheet'!C:C,'Input sheet'!D:D,"Manual")</f>
        <v>0</v>
      </c>
      <c r="E42" t="str">
        <f>_xlfn.XLOOKUP($B42,'Input sheet'!$C:$C,'Input sheet'!E:E,"Manual")</f>
        <v>kg</v>
      </c>
    </row>
    <row r="43" spans="1:5">
      <c r="A43" t="str">
        <f>'Input sheet'!$D$18&amp;'Input sheet'!$D$19</f>
        <v/>
      </c>
      <c r="B43" s="8" t="s">
        <v>117</v>
      </c>
      <c r="C43" s="8"/>
      <c r="D43">
        <f>_xlfn.XLOOKUP(B43,'Input sheet'!C:C,'Input sheet'!D:D,"Manual")</f>
        <v>0</v>
      </c>
      <c r="E43" t="str">
        <f>_xlfn.XLOOKUP($B43,'Input sheet'!$C:$C,'Input sheet'!E:E,"Manual")</f>
        <v>kg</v>
      </c>
    </row>
    <row r="44" spans="1:5">
      <c r="A44" t="str">
        <f>'Input sheet'!$D$18&amp;'Input sheet'!$D$19</f>
        <v/>
      </c>
      <c r="B44" s="8" t="s">
        <v>119</v>
      </c>
      <c r="C44" s="8"/>
      <c r="D44">
        <f>_xlfn.XLOOKUP(B44,'Input sheet'!C:C,'Input sheet'!D:D,"Manual")</f>
        <v>0</v>
      </c>
      <c r="E44" t="str">
        <f>_xlfn.XLOOKUP($B44,'Input sheet'!$C:$C,'Input sheet'!E:E,"Manual")</f>
        <v>kg</v>
      </c>
    </row>
    <row r="45" spans="1:5">
      <c r="A45" t="str">
        <f>'Input sheet'!$D$18&amp;'Input sheet'!$D$19</f>
        <v/>
      </c>
      <c r="B45" s="8" t="s">
        <v>121</v>
      </c>
      <c r="C45" s="8"/>
      <c r="D45">
        <f>_xlfn.XLOOKUP(B45,'Input sheet'!C:C,'Input sheet'!D:D,"Manual")</f>
        <v>0</v>
      </c>
      <c r="E45" t="str">
        <f>_xlfn.XLOOKUP($B45,'Input sheet'!$C:$C,'Input sheet'!E:E,"Manual")</f>
        <v>kg</v>
      </c>
    </row>
    <row r="46" spans="1:5">
      <c r="A46" t="str">
        <f>'Input sheet'!$D$18&amp;'Input sheet'!$D$19</f>
        <v/>
      </c>
      <c r="B46" s="8" t="s">
        <v>123</v>
      </c>
      <c r="C46" s="8"/>
      <c r="D46">
        <f>_xlfn.XLOOKUP(B46,'Input sheet'!C:C,'Input sheet'!D:D,"Manual")</f>
        <v>0</v>
      </c>
      <c r="E46" t="str">
        <f>_xlfn.XLOOKUP($B46,'Input sheet'!$C:$C,'Input sheet'!E:E,"Manual")</f>
        <v>kg</v>
      </c>
    </row>
    <row r="47" spans="1:5">
      <c r="A47" t="str">
        <f>'Input sheet'!$D$18&amp;'Input sheet'!$D$19</f>
        <v/>
      </c>
      <c r="B47" s="8" t="s">
        <v>125</v>
      </c>
      <c r="C47" s="8"/>
      <c r="D47">
        <f>_xlfn.XLOOKUP(B47,'Input sheet'!C:C,'Input sheet'!D:D,"Manual")</f>
        <v>0</v>
      </c>
      <c r="E47" t="str">
        <f>_xlfn.XLOOKUP($B47,'Input sheet'!$C:$C,'Input sheet'!E:E,"Manual")</f>
        <v>kg</v>
      </c>
    </row>
    <row r="48" spans="1:5">
      <c r="A48" t="str">
        <f>'Input sheet'!$D$18&amp;'Input sheet'!$D$19</f>
        <v/>
      </c>
      <c r="B48" s="8" t="s">
        <v>127</v>
      </c>
      <c r="C48" s="8"/>
      <c r="D48">
        <f>_xlfn.XLOOKUP(B48,'Input sheet'!C:C,'Input sheet'!D:D,"Manual")</f>
        <v>0</v>
      </c>
      <c r="E48" t="str">
        <f>_xlfn.XLOOKUP($B48,'Input sheet'!$C:$C,'Input sheet'!E:E,"Manual")</f>
        <v>kg</v>
      </c>
    </row>
    <row r="49" spans="1:5">
      <c r="A49" t="str">
        <f>'Input sheet'!$D$18&amp;'Input sheet'!$D$19</f>
        <v/>
      </c>
      <c r="B49" s="8" t="s">
        <v>129</v>
      </c>
      <c r="C49" s="8"/>
      <c r="D49">
        <f>_xlfn.XLOOKUP(B49,'Input sheet'!C:C,'Input sheet'!D:D,"Manual")</f>
        <v>0</v>
      </c>
      <c r="E49" t="str">
        <f>_xlfn.XLOOKUP($B49,'Input sheet'!$C:$C,'Input sheet'!E:E,"Manual")</f>
        <v>kg</v>
      </c>
    </row>
    <row r="50" spans="1:5">
      <c r="A50" t="str">
        <f>'Input sheet'!$D$18&amp;'Input sheet'!$D$19</f>
        <v/>
      </c>
      <c r="B50" s="8" t="s">
        <v>131</v>
      </c>
      <c r="C50" s="8"/>
      <c r="D50">
        <f>_xlfn.XLOOKUP(B50,'Input sheet'!C:C,'Input sheet'!D:D,"Manual")</f>
        <v>0</v>
      </c>
      <c r="E50" t="str">
        <f>_xlfn.XLOOKUP($B50,'Input sheet'!$C:$C,'Input sheet'!E:E,"Manual")</f>
        <v>kg</v>
      </c>
    </row>
    <row r="51" spans="1:5">
      <c r="A51" t="str">
        <f>'Input sheet'!$D$18&amp;'Input sheet'!$D$19</f>
        <v/>
      </c>
      <c r="B51" s="8" t="s">
        <v>133</v>
      </c>
      <c r="C51" s="8"/>
      <c r="D51">
        <f>_xlfn.XLOOKUP(B51,'Input sheet'!C:C,'Input sheet'!D:D,"Manual")</f>
        <v>0</v>
      </c>
      <c r="E51" t="str">
        <f>_xlfn.XLOOKUP($B51,'Input sheet'!$C:$C,'Input sheet'!E:E,"Manual")</f>
        <v>kg</v>
      </c>
    </row>
    <row r="52" spans="1:5">
      <c r="A52" t="str">
        <f>'Input sheet'!$D$18&amp;'Input sheet'!$D$19</f>
        <v/>
      </c>
      <c r="B52" s="8" t="s">
        <v>135</v>
      </c>
      <c r="C52" s="8"/>
      <c r="D52">
        <f>_xlfn.XLOOKUP(B52,'Input sheet'!C:C,'Input sheet'!D:D,"Manual")</f>
        <v>0</v>
      </c>
      <c r="E52" t="str">
        <f>_xlfn.XLOOKUP($B52,'Input sheet'!$C:$C,'Input sheet'!E:E,"Manual")</f>
        <v>kg</v>
      </c>
    </row>
    <row r="53" spans="1:5">
      <c r="A53" t="str">
        <f>'Input sheet'!$D$18&amp;'Input sheet'!$D$19</f>
        <v/>
      </c>
      <c r="B53" s="8" t="s">
        <v>137</v>
      </c>
      <c r="C53" s="8"/>
      <c r="D53">
        <f>_xlfn.XLOOKUP(B53,'Input sheet'!C:C,'Input sheet'!D:D,"Manual")</f>
        <v>0</v>
      </c>
      <c r="E53" t="str">
        <f>_xlfn.XLOOKUP($B53,'Input sheet'!$C:$C,'Input sheet'!E:E,"Manual")</f>
        <v>kg</v>
      </c>
    </row>
    <row r="54" spans="1:5">
      <c r="A54" t="str">
        <f>'Input sheet'!$D$18&amp;'Input sheet'!$D$19</f>
        <v/>
      </c>
      <c r="B54" s="8" t="s">
        <v>139</v>
      </c>
      <c r="C54" s="8"/>
      <c r="D54">
        <f>_xlfn.XLOOKUP(B54,'Input sheet'!C:C,'Input sheet'!D:D,"Manual")</f>
        <v>0</v>
      </c>
      <c r="E54" t="str">
        <f>_xlfn.XLOOKUP($B54,'Input sheet'!$C:$C,'Input sheet'!E:E,"Manual")</f>
        <v>kg</v>
      </c>
    </row>
    <row r="55" spans="1:5">
      <c r="A55" t="str">
        <f>'Input sheet'!$D$18&amp;'Input sheet'!$D$19</f>
        <v/>
      </c>
      <c r="B55" s="8" t="s">
        <v>141</v>
      </c>
      <c r="C55" s="8"/>
      <c r="D55">
        <f>_xlfn.XLOOKUP(B55,'Input sheet'!C:C,'Input sheet'!D:D,"Manual")</f>
        <v>0</v>
      </c>
      <c r="E55" t="str">
        <f>_xlfn.XLOOKUP($B55,'Input sheet'!$C:$C,'Input sheet'!E:E,"Manual")</f>
        <v>kg</v>
      </c>
    </row>
    <row r="56" spans="1:5">
      <c r="A56" t="str">
        <f>'Input sheet'!$D$18&amp;'Input sheet'!$D$19</f>
        <v/>
      </c>
      <c r="B56" s="8" t="s">
        <v>143</v>
      </c>
      <c r="C56" s="8"/>
      <c r="D56">
        <f>_xlfn.XLOOKUP(B56,'Input sheet'!C:C,'Input sheet'!D:D,"Manual")</f>
        <v>0</v>
      </c>
      <c r="E56" t="str">
        <f>_xlfn.XLOOKUP($B56,'Input sheet'!$C:$C,'Input sheet'!E:E,"Manual")</f>
        <v>kg</v>
      </c>
    </row>
    <row r="57" spans="1:5">
      <c r="A57" t="str">
        <f>'Input sheet'!$D$18&amp;'Input sheet'!$D$19</f>
        <v/>
      </c>
      <c r="B57" s="8" t="s">
        <v>145</v>
      </c>
      <c r="C57" s="8"/>
      <c r="D57">
        <f>_xlfn.XLOOKUP(B57,'Input sheet'!C:C,'Input sheet'!D:D,"Manual")</f>
        <v>0</v>
      </c>
      <c r="E57" t="str">
        <f>_xlfn.XLOOKUP($B57,'Input sheet'!$C:$C,'Input sheet'!E:E,"Manual")</f>
        <v>kg</v>
      </c>
    </row>
    <row r="58" spans="1:5">
      <c r="A58" t="str">
        <f>'Input sheet'!$D$18&amp;'Input sheet'!$D$19</f>
        <v/>
      </c>
      <c r="B58" s="8" t="s">
        <v>147</v>
      </c>
      <c r="C58" s="8"/>
      <c r="D58">
        <f>_xlfn.XLOOKUP(B58,'Input sheet'!C:C,'Input sheet'!D:D,"Manual")</f>
        <v>0</v>
      </c>
      <c r="E58" t="str">
        <f>_xlfn.XLOOKUP($B58,'Input sheet'!$C:$C,'Input sheet'!E:E,"Manual")</f>
        <v>kg</v>
      </c>
    </row>
    <row r="59" spans="1:5">
      <c r="A59" t="str">
        <f>'Input sheet'!$D$18&amp;'Input sheet'!$D$19</f>
        <v/>
      </c>
      <c r="B59" t="s">
        <v>152</v>
      </c>
      <c r="C59" s="8"/>
      <c r="D59">
        <f>_xlfn.XLOOKUP(B59,'Input sheet'!C:C,'Input sheet'!D:D,"Manual")</f>
        <v>0</v>
      </c>
      <c r="E59" t="str">
        <f>_xlfn.XLOOKUP($B59,'Input sheet'!$C:$C,'Input sheet'!E:E,"Manual")</f>
        <v>number of items</v>
      </c>
    </row>
    <row r="60" spans="1:5">
      <c r="A60" t="str">
        <f>'Input sheet'!$D$18&amp;'Input sheet'!$D$19</f>
        <v/>
      </c>
      <c r="B60" t="s">
        <v>155</v>
      </c>
      <c r="C60" s="8"/>
      <c r="D60">
        <f>_xlfn.XLOOKUP(B60,'Input sheet'!C:C,'Input sheet'!D:D,"Manual")</f>
        <v>0</v>
      </c>
      <c r="E60" t="str">
        <f>_xlfn.XLOOKUP($B60,'Input sheet'!$C:$C,'Input sheet'!E:E,"Manual")</f>
        <v>%</v>
      </c>
    </row>
    <row r="61" spans="1:5">
      <c r="A61" t="str">
        <f>'Input sheet'!$D$18&amp;'Input sheet'!$D$19</f>
        <v/>
      </c>
      <c r="B61" t="s">
        <v>158</v>
      </c>
      <c r="D61">
        <f>_xlfn.XLOOKUP(B61,'Input sheet'!C:C,'Input sheet'!D:D,"Manual")</f>
        <v>0</v>
      </c>
      <c r="E61" t="str">
        <f>_xlfn.XLOOKUP($B61,'Input sheet'!$C:$C,'Input sheet'!E:E,"Manual")</f>
        <v>number of items</v>
      </c>
    </row>
    <row r="62" spans="1:5">
      <c r="A62" t="str">
        <f>'Input sheet'!$D$18&amp;'Input sheet'!$D$19</f>
        <v/>
      </c>
      <c r="B62" t="s">
        <v>160</v>
      </c>
      <c r="D62">
        <f>_xlfn.XLOOKUP(B62,'Input sheet'!C:C,'Input sheet'!D:D,"Manual")</f>
        <v>0</v>
      </c>
      <c r="E62" t="str">
        <f>_xlfn.XLOOKUP($B62,'Input sheet'!$C:$C,'Input sheet'!E:E,"Manual")</f>
        <v>%</v>
      </c>
    </row>
    <row r="63" spans="1:5">
      <c r="A63" t="str">
        <f>'Input sheet'!$D$18&amp;'Input sheet'!$D$19</f>
        <v/>
      </c>
      <c r="B63" t="s">
        <v>162</v>
      </c>
      <c r="D63">
        <f>_xlfn.XLOOKUP(B63,'Input sheet'!C:C,'Input sheet'!D:D,"Manual")</f>
        <v>0</v>
      </c>
      <c r="E63" t="str">
        <f>_xlfn.XLOOKUP($B63,'Input sheet'!$C:$C,'Input sheet'!E:E,"Manual")</f>
        <v>number of items</v>
      </c>
    </row>
    <row r="64" spans="1:5">
      <c r="A64" t="str">
        <f>'Input sheet'!$D$18&amp;'Input sheet'!$D$19</f>
        <v/>
      </c>
      <c r="B64" t="s">
        <v>164</v>
      </c>
      <c r="D64">
        <f>_xlfn.XLOOKUP(B64,'Input sheet'!C:C,'Input sheet'!D:D,"Manual")</f>
        <v>0</v>
      </c>
      <c r="E64" t="str">
        <f>_xlfn.XLOOKUP($B64,'Input sheet'!$C:$C,'Input sheet'!E:E,"Manual")</f>
        <v>%</v>
      </c>
    </row>
    <row r="65" spans="1:5">
      <c r="A65" t="str">
        <f>'Input sheet'!$D$18&amp;'Input sheet'!$D$19</f>
        <v/>
      </c>
      <c r="B65" t="s">
        <v>167</v>
      </c>
      <c r="D65">
        <f>_xlfn.XLOOKUP(B65,'Input sheet'!C:C,'Input sheet'!D:D,"Manual")</f>
        <v>0</v>
      </c>
      <c r="E65" t="str">
        <f>_xlfn.XLOOKUP($B65,'Input sheet'!$C:$C,'Input sheet'!E:E,"Manual")</f>
        <v>number of items</v>
      </c>
    </row>
    <row r="66" spans="1:5">
      <c r="A66" t="str">
        <f>'Input sheet'!$D$18&amp;'Input sheet'!$D$19</f>
        <v/>
      </c>
      <c r="B66" t="s">
        <v>169</v>
      </c>
      <c r="D66">
        <f>_xlfn.XLOOKUP(B66,'Input sheet'!C:C,'Input sheet'!D:D,"Manual")</f>
        <v>0</v>
      </c>
      <c r="E66" t="str">
        <f>_xlfn.XLOOKUP($B66,'Input sheet'!$C:$C,'Input sheet'!E:E,"Manual")</f>
        <v>number of items</v>
      </c>
    </row>
    <row r="67" spans="1:5">
      <c r="A67" t="str">
        <f>'Input sheet'!$D$18&amp;'Input sheet'!$D$19</f>
        <v/>
      </c>
      <c r="B67" t="s">
        <v>171</v>
      </c>
      <c r="D67">
        <f>_xlfn.XLOOKUP(B67,'Input sheet'!C:C,'Input sheet'!D:D,"Manual")</f>
        <v>0</v>
      </c>
      <c r="E67" t="str">
        <f>_xlfn.XLOOKUP($B67,'Input sheet'!$C:$C,'Input sheet'!E:E,"Manual")</f>
        <v>%</v>
      </c>
    </row>
    <row r="68" spans="1:5">
      <c r="A68" t="str">
        <f>'Input sheet'!$D$18&amp;'Input sheet'!$D$19</f>
        <v/>
      </c>
      <c r="B68" t="s">
        <v>173</v>
      </c>
      <c r="D68">
        <f>_xlfn.XLOOKUP(B68,'Input sheet'!C:C,'Input sheet'!D:D,"Manual")</f>
        <v>0</v>
      </c>
      <c r="E68" t="str">
        <f>_xlfn.XLOOKUP($B68,'Input sheet'!$C:$C,'Input sheet'!E:E,"Manual")</f>
        <v>number of items</v>
      </c>
    </row>
    <row r="69" spans="1:5">
      <c r="A69" t="str">
        <f>'Input sheet'!$D$18&amp;'Input sheet'!$D$19</f>
        <v/>
      </c>
      <c r="B69" t="s">
        <v>175</v>
      </c>
      <c r="D69">
        <f>_xlfn.XLOOKUP(B69,'Input sheet'!C:C,'Input sheet'!D:D,"Manual")</f>
        <v>0</v>
      </c>
      <c r="E69" t="str">
        <f>_xlfn.XLOOKUP($B69,'Input sheet'!$C:$C,'Input sheet'!E:E,"Manual")</f>
        <v>number of items</v>
      </c>
    </row>
    <row r="70" spans="1:5">
      <c r="A70" t="str">
        <f>'Input sheet'!$D$18&amp;'Input sheet'!$D$19</f>
        <v/>
      </c>
      <c r="B70" t="s">
        <v>177</v>
      </c>
      <c r="D70">
        <f>_xlfn.XLOOKUP(B70,'Input sheet'!C:C,'Input sheet'!D:D,"Manual")</f>
        <v>0</v>
      </c>
      <c r="E70" t="str">
        <f>_xlfn.XLOOKUP($B70,'Input sheet'!$C:$C,'Input sheet'!E:E,"Manual")</f>
        <v>%</v>
      </c>
    </row>
    <row r="71" spans="1:5">
      <c r="A71" t="str">
        <f>'Input sheet'!$D$18&amp;'Input sheet'!$D$19</f>
        <v/>
      </c>
      <c r="B71" t="s">
        <v>179</v>
      </c>
      <c r="D71">
        <f>_xlfn.XLOOKUP(B71,'Input sheet'!C:C,'Input sheet'!D:D,"Manual")</f>
        <v>0</v>
      </c>
      <c r="E71" t="str">
        <f>_xlfn.XLOOKUP($B71,'Input sheet'!$C:$C,'Input sheet'!E:E,"Manual")</f>
        <v>number of items</v>
      </c>
    </row>
    <row r="72" spans="1:5">
      <c r="A72" t="str">
        <f>'Input sheet'!$D$18&amp;'Input sheet'!$D$19</f>
        <v/>
      </c>
      <c r="B72" t="s">
        <v>181</v>
      </c>
      <c r="D72">
        <f>_xlfn.XLOOKUP(B72,'Input sheet'!C:C,'Input sheet'!D:D,"Manual")</f>
        <v>0</v>
      </c>
      <c r="E72" t="str">
        <f>_xlfn.XLOOKUP($B72,'Input sheet'!$C:$C,'Input sheet'!E:E,"Manual")</f>
        <v>number of items</v>
      </c>
    </row>
    <row r="73" spans="1:5">
      <c r="A73" t="str">
        <f>'Input sheet'!$D$18&amp;'Input sheet'!$D$19</f>
        <v/>
      </c>
      <c r="B73" t="s">
        <v>183</v>
      </c>
      <c r="D73">
        <f>_xlfn.XLOOKUP(B73,'Input sheet'!C:C,'Input sheet'!D:D,"Manual")</f>
        <v>0</v>
      </c>
      <c r="E73" t="str">
        <f>_xlfn.XLOOKUP($B73,'Input sheet'!$C:$C,'Input sheet'!E:E,"Manual")</f>
        <v>%</v>
      </c>
    </row>
    <row r="74" spans="1:5">
      <c r="A74" t="str">
        <f>'Input sheet'!$D$18&amp;'Input sheet'!$D$19</f>
        <v/>
      </c>
      <c r="B74" t="s">
        <v>187</v>
      </c>
      <c r="D74">
        <f>_xlfn.XLOOKUP(B74,'Input sheet'!C:C,'Input sheet'!D:D,"Manual")</f>
        <v>0</v>
      </c>
      <c r="E74" t="str">
        <f>_xlfn.XLOOKUP($B74,'Input sheet'!$C:$C,'Input sheet'!E:E,"Manual")</f>
        <v>kg</v>
      </c>
    </row>
    <row r="75" spans="1:5">
      <c r="A75" t="str">
        <f>'Input sheet'!$D$18&amp;'Input sheet'!$D$19</f>
        <v/>
      </c>
      <c r="B75" t="s">
        <v>189</v>
      </c>
      <c r="D75">
        <f>_xlfn.XLOOKUP(B75,'Input sheet'!C:C,'Input sheet'!D:D,"Manual")</f>
        <v>0</v>
      </c>
      <c r="E75" t="str">
        <f>_xlfn.XLOOKUP($B75,'Input sheet'!$C:$C,'Input sheet'!E:E,"Manual")</f>
        <v>kg</v>
      </c>
    </row>
    <row r="76" spans="1:5">
      <c r="A76" t="str">
        <f>'Input sheet'!$D$18&amp;'Input sheet'!$D$19</f>
        <v/>
      </c>
      <c r="B76" t="s">
        <v>191</v>
      </c>
      <c r="D76">
        <f>_xlfn.XLOOKUP(B76,'Input sheet'!C:C,'Input sheet'!D:D,"Manual")</f>
        <v>0</v>
      </c>
      <c r="E76" t="str">
        <f>_xlfn.XLOOKUP($B76,'Input sheet'!$C:$C,'Input sheet'!E:E,"Manual")</f>
        <v>kg</v>
      </c>
    </row>
    <row r="77" spans="1:5">
      <c r="A77" t="str">
        <f>'Input sheet'!$D$18&amp;'Input sheet'!$D$19</f>
        <v/>
      </c>
      <c r="B77" t="s">
        <v>193</v>
      </c>
      <c r="D77">
        <f>_xlfn.XLOOKUP(B77,'Input sheet'!C:C,'Input sheet'!D:D,"Manual")</f>
        <v>0</v>
      </c>
      <c r="E77" t="str">
        <f>_xlfn.XLOOKUP($B77,'Input sheet'!$C:$C,'Input sheet'!E:E,"Manual")</f>
        <v>kg</v>
      </c>
    </row>
    <row r="78" spans="1:5">
      <c r="A78" t="str">
        <f>'Input sheet'!$D$18&amp;'Input sheet'!$D$19</f>
        <v/>
      </c>
      <c r="B78" t="s">
        <v>195</v>
      </c>
      <c r="D78">
        <f>_xlfn.XLOOKUP(B78,'Input sheet'!C:C,'Input sheet'!D:D,"Manual")</f>
        <v>0</v>
      </c>
      <c r="E78" t="str">
        <f>_xlfn.XLOOKUP($B78,'Input sheet'!$C:$C,'Input sheet'!E:E,"Manual")</f>
        <v>kg</v>
      </c>
    </row>
    <row r="79" spans="1:5">
      <c r="A79" t="str">
        <f>'Input sheet'!$D$18&amp;'Input sheet'!$D$19</f>
        <v/>
      </c>
      <c r="B79" t="s">
        <v>197</v>
      </c>
      <c r="D79">
        <f>_xlfn.XLOOKUP(B79,'Input sheet'!C:C,'Input sheet'!D:D,"Manual")</f>
        <v>0</v>
      </c>
      <c r="E79" t="str">
        <f>_xlfn.XLOOKUP($B79,'Input sheet'!$C:$C,'Input sheet'!E:E,"Manual")</f>
        <v>kg</v>
      </c>
    </row>
    <row r="80" spans="1:5">
      <c r="A80" t="str">
        <f>'Input sheet'!$D$18&amp;'Input sheet'!$D$19</f>
        <v/>
      </c>
      <c r="B80" t="s">
        <v>199</v>
      </c>
      <c r="D80">
        <f>_xlfn.XLOOKUP(B80,'Input sheet'!C:C,'Input sheet'!D:D,"Manual")</f>
        <v>0</v>
      </c>
      <c r="E80" t="str">
        <f>_xlfn.XLOOKUP($B80,'Input sheet'!$C:$C,'Input sheet'!E:E,"Manual")</f>
        <v>kg</v>
      </c>
    </row>
    <row r="81" spans="1:5">
      <c r="A81" t="str">
        <f>'Input sheet'!$D$18&amp;'Input sheet'!$D$19</f>
        <v/>
      </c>
      <c r="B81" t="s">
        <v>201</v>
      </c>
      <c r="D81">
        <f>_xlfn.XLOOKUP(B81,'Input sheet'!C:C,'Input sheet'!D:D,"Manual")</f>
        <v>0</v>
      </c>
      <c r="E81" t="str">
        <f>_xlfn.XLOOKUP($B81,'Input sheet'!$C:$C,'Input sheet'!E:E,"Manual")</f>
        <v>litres</v>
      </c>
    </row>
    <row r="82" spans="1:5">
      <c r="A82" t="str">
        <f>'Input sheet'!$D$18&amp;'Input sheet'!$D$19</f>
        <v/>
      </c>
      <c r="B82" t="s">
        <v>203</v>
      </c>
      <c r="D82">
        <f>_xlfn.XLOOKUP(B82,'Input sheet'!C:C,'Input sheet'!D:D,"Manual")</f>
        <v>0</v>
      </c>
      <c r="E82" t="str">
        <f>_xlfn.XLOOKUP($B82,'Input sheet'!$C:$C,'Input sheet'!E:E,"Manual")</f>
        <v>kg</v>
      </c>
    </row>
    <row r="83" spans="1:5">
      <c r="A83" t="str">
        <f>'Input sheet'!$D$18&amp;'Input sheet'!$D$19</f>
        <v/>
      </c>
      <c r="B83" t="s">
        <v>205</v>
      </c>
      <c r="D83">
        <f>_xlfn.XLOOKUP(B83,'Input sheet'!C:C,'Input sheet'!D:D,"Manual")</f>
        <v>0</v>
      </c>
      <c r="E83" t="str">
        <f>_xlfn.XLOOKUP($B83,'Input sheet'!$C:$C,'Input sheet'!E:E,"Manual")</f>
        <v>kg</v>
      </c>
    </row>
    <row r="84" spans="1:5">
      <c r="A84" t="str">
        <f>'Input sheet'!$D$18&amp;'Input sheet'!$D$19</f>
        <v/>
      </c>
      <c r="B84" t="s">
        <v>208</v>
      </c>
      <c r="D84">
        <f>_xlfn.XLOOKUP(B84,'Input sheet'!C:C,'Input sheet'!D:D,"Manual")</f>
        <v>0</v>
      </c>
      <c r="E84" t="str">
        <f>_xlfn.XLOOKUP($B84,'Input sheet'!$C:$C,'Input sheet'!E:E,"Manual")</f>
        <v>kg</v>
      </c>
    </row>
    <row r="85" spans="1:5">
      <c r="A85" t="str">
        <f>'Input sheet'!$D$18&amp;'Input sheet'!$D$19</f>
        <v/>
      </c>
      <c r="B85" t="s">
        <v>210</v>
      </c>
      <c r="D85">
        <f>_xlfn.XLOOKUP(B85,'Input sheet'!C:C,'Input sheet'!D:D,"Manual")</f>
        <v>0</v>
      </c>
      <c r="E85" t="str">
        <f>_xlfn.XLOOKUP($B85,'Input sheet'!$C:$C,'Input sheet'!E:E,"Manual")</f>
        <v>kg</v>
      </c>
    </row>
    <row r="86" spans="1:5">
      <c r="A86" t="str">
        <f>'Input sheet'!$D$18&amp;'Input sheet'!$D$19</f>
        <v/>
      </c>
      <c r="B86" t="s">
        <v>212</v>
      </c>
      <c r="D86">
        <f>_xlfn.XLOOKUP(B86,'Input sheet'!C:C,'Input sheet'!D:D,"Manual")</f>
        <v>0</v>
      </c>
      <c r="E86" t="str">
        <f>_xlfn.XLOOKUP($B86,'Input sheet'!$C:$C,'Input sheet'!E:E,"Manual")</f>
        <v>kg</v>
      </c>
    </row>
    <row r="87" spans="1:5">
      <c r="A87" t="str">
        <f>'Input sheet'!$D$18&amp;'Input sheet'!$D$19</f>
        <v/>
      </c>
      <c r="B87" t="s">
        <v>214</v>
      </c>
      <c r="D87">
        <f>_xlfn.XLOOKUP(B87,'Input sheet'!C:C,'Input sheet'!D:D,"Manual")</f>
        <v>0</v>
      </c>
      <c r="E87" t="str">
        <f>_xlfn.XLOOKUP($B87,'Input sheet'!$C:$C,'Input sheet'!E:E,"Manual")</f>
        <v>kg</v>
      </c>
    </row>
    <row r="88" spans="1:5">
      <c r="A88" t="str">
        <f>'Input sheet'!$D$18&amp;'Input sheet'!$D$19</f>
        <v/>
      </c>
      <c r="B88" t="s">
        <v>972</v>
      </c>
      <c r="D88" t="str">
        <f>_xlfn.XLOOKUP(B88,'Input sheet'!C:C,'Input sheet'!D:D,"Manual")</f>
        <v>Manual</v>
      </c>
      <c r="E88" t="str">
        <f>_xlfn.XLOOKUP($B88,'Input sheet'!$C:$C,'Input sheet'!E:E,"Manual")</f>
        <v>Manual</v>
      </c>
    </row>
    <row r="89" spans="1:5">
      <c r="A89" t="str">
        <f>'Input sheet'!$D$18&amp;'Input sheet'!$D$19</f>
        <v/>
      </c>
      <c r="B89" t="s">
        <v>221</v>
      </c>
      <c r="D89">
        <f>_xlfn.XLOOKUP(B89,'Input sheet'!C:C,'Input sheet'!D:D,"Manual")</f>
        <v>0</v>
      </c>
      <c r="E89" t="str">
        <f>_xlfn.XLOOKUP($B89,'Input sheet'!$C:$C,'Input sheet'!E:E,"Manual")</f>
        <v>%</v>
      </c>
    </row>
    <row r="90" spans="1:5">
      <c r="A90" t="str">
        <f>'Input sheet'!$D$18&amp;'Input sheet'!$D$19</f>
        <v/>
      </c>
      <c r="B90" t="s">
        <v>223</v>
      </c>
      <c r="D90">
        <f>_xlfn.XLOOKUP(B90,'Input sheet'!C:C,'Input sheet'!D:D,"Manual")</f>
        <v>0</v>
      </c>
      <c r="E90" t="str">
        <f>_xlfn.XLOOKUP($B90,'Input sheet'!$C:$C,'Input sheet'!E:E,"Manual")</f>
        <v>km</v>
      </c>
    </row>
    <row r="91" spans="1:5">
      <c r="A91" t="str">
        <f>'Input sheet'!$D$18&amp;'Input sheet'!$D$19</f>
        <v/>
      </c>
      <c r="B91" t="s">
        <v>225</v>
      </c>
      <c r="D91">
        <f>_xlfn.XLOOKUP(B91,'Input sheet'!C:C,'Input sheet'!D:D,"Manual")</f>
        <v>0</v>
      </c>
      <c r="E91" t="str">
        <f>_xlfn.XLOOKUP($B91,'Input sheet'!$C:$C,'Input sheet'!E:E,"Manual")</f>
        <v>%</v>
      </c>
    </row>
    <row r="92" spans="1:5">
      <c r="A92" t="str">
        <f>'Input sheet'!$D$18&amp;'Input sheet'!$D$19</f>
        <v/>
      </c>
      <c r="B92" t="s">
        <v>227</v>
      </c>
      <c r="D92">
        <f>_xlfn.XLOOKUP(B92,'Input sheet'!C:C,'Input sheet'!D:D,"Manual")</f>
        <v>0</v>
      </c>
      <c r="E92" t="str">
        <f>_xlfn.XLOOKUP($B92,'Input sheet'!$C:$C,'Input sheet'!E:E,"Manual")</f>
        <v>km</v>
      </c>
    </row>
    <row r="93" spans="1:5">
      <c r="A93" t="str">
        <f>'Input sheet'!$D$18&amp;'Input sheet'!$D$19</f>
        <v/>
      </c>
      <c r="B93" t="s">
        <v>228</v>
      </c>
      <c r="D93">
        <f>_xlfn.XLOOKUP(B93,'Input sheet'!C:C,'Input sheet'!D:D,"Manual")</f>
        <v>0</v>
      </c>
      <c r="E93" t="str">
        <f>_xlfn.XLOOKUP($B93,'Input sheet'!$C:$C,'Input sheet'!E:E,"Manual")</f>
        <v>%</v>
      </c>
    </row>
    <row r="94" spans="1:5">
      <c r="A94" t="str">
        <f>'Input sheet'!$D$18&amp;'Input sheet'!$D$19</f>
        <v/>
      </c>
      <c r="B94" t="s">
        <v>230</v>
      </c>
      <c r="D94">
        <f>_xlfn.XLOOKUP(B94,'Input sheet'!C:C,'Input sheet'!D:D,"Manual")</f>
        <v>0</v>
      </c>
      <c r="E94" t="str">
        <f>_xlfn.XLOOKUP($B94,'Input sheet'!$C:$C,'Input sheet'!E:E,"Manual")</f>
        <v>km</v>
      </c>
    </row>
    <row r="95" spans="1:5">
      <c r="A95" t="str">
        <f>'Input sheet'!$D$18&amp;'Input sheet'!$D$19</f>
        <v/>
      </c>
      <c r="B95" t="s">
        <v>231</v>
      </c>
      <c r="D95">
        <f>_xlfn.XLOOKUP(B95,'Input sheet'!C:C,'Input sheet'!D:D,"Manual")</f>
        <v>0</v>
      </c>
      <c r="E95" t="str">
        <f>_xlfn.XLOOKUP($B95,'Input sheet'!$C:$C,'Input sheet'!E:E,"Manual")</f>
        <v>%</v>
      </c>
    </row>
    <row r="96" spans="1:5">
      <c r="A96" t="str">
        <f>'Input sheet'!$D$18&amp;'Input sheet'!$D$19</f>
        <v/>
      </c>
      <c r="B96" t="s">
        <v>233</v>
      </c>
      <c r="D96">
        <f>_xlfn.XLOOKUP(B96,'Input sheet'!C:C,'Input sheet'!D:D,"Manual")</f>
        <v>0</v>
      </c>
      <c r="E96" t="str">
        <f>_xlfn.XLOOKUP($B96,'Input sheet'!$C:$C,'Input sheet'!E:E,"Manual")</f>
        <v>km</v>
      </c>
    </row>
    <row r="97" spans="1:7">
      <c r="A97" t="str">
        <f>'Input sheet'!$D$18&amp;'Input sheet'!$D$19</f>
        <v/>
      </c>
      <c r="B97" t="s">
        <v>234</v>
      </c>
      <c r="D97">
        <f>_xlfn.XLOOKUP(B97,'Input sheet'!C:C,'Input sheet'!D:D,"Manual")</f>
        <v>0</v>
      </c>
      <c r="E97" t="str">
        <f>_xlfn.XLOOKUP($B97,'Input sheet'!$C:$C,'Input sheet'!E:E,"Manual")</f>
        <v>%</v>
      </c>
    </row>
    <row r="98" spans="1:7">
      <c r="A98" t="str">
        <f>'Input sheet'!$D$18&amp;'Input sheet'!$D$19</f>
        <v/>
      </c>
      <c r="B98" t="s">
        <v>236</v>
      </c>
      <c r="D98">
        <f>_xlfn.XLOOKUP(B98,'Input sheet'!C:C,'Input sheet'!D:D,"Manual")</f>
        <v>0</v>
      </c>
      <c r="E98" t="str">
        <f>_xlfn.XLOOKUP($B98,'Input sheet'!$C:$C,'Input sheet'!E:E,"Manual")</f>
        <v>km</v>
      </c>
    </row>
    <row r="99" spans="1:7">
      <c r="A99" t="str">
        <f>'Input sheet'!$D$18&amp;'Input sheet'!$D$19</f>
        <v/>
      </c>
      <c r="B99" t="s">
        <v>576</v>
      </c>
      <c r="C99" t="s">
        <v>237</v>
      </c>
      <c r="D99" s="813">
        <f>_xlfn.XLOOKUP(B99,'Input sheet'!C:C,'Input sheet'!D:D,_xlfn.XLOOKUP(C99,'Input sheet'!C:C,'Input sheet'!D:D,"check",,1))</f>
        <v>0</v>
      </c>
      <c r="E99" s="813" t="str">
        <f>_xlfn.XLOOKUP($B99,'Input sheet'!$C:$C,'Input sheet'!E:E,_xlfn.XLOOKUP(C99,'Input sheet'!C:C,'Input sheet'!E:E,"check",,1))</f>
        <v>number of people</v>
      </c>
      <c r="G99" s="813" t="s">
        <v>1600</v>
      </c>
    </row>
    <row r="100" spans="1:7">
      <c r="A100" t="str">
        <f>'Input sheet'!$D$18&amp;'Input sheet'!$D$19</f>
        <v/>
      </c>
      <c r="B100" t="s">
        <v>239</v>
      </c>
      <c r="D100">
        <f>_xlfn.XLOOKUP(B100,'Input sheet'!C:C,'Input sheet'!D:D,"Manual")</f>
        <v>0</v>
      </c>
      <c r="E100" t="str">
        <f>_xlfn.XLOOKUP($B100,'Input sheet'!$C:$C,'Input sheet'!E:E,"Manual")</f>
        <v>%</v>
      </c>
    </row>
    <row r="101" spans="1:7">
      <c r="A101" t="str">
        <f>'Input sheet'!$D$18&amp;'Input sheet'!$D$19</f>
        <v/>
      </c>
      <c r="B101" t="s">
        <v>241</v>
      </c>
      <c r="D101">
        <f>_xlfn.XLOOKUP(B101,'Input sheet'!C:C,'Input sheet'!D:D,"Manual")</f>
        <v>0</v>
      </c>
      <c r="E101" t="str">
        <f>_xlfn.XLOOKUP($B101,'Input sheet'!$C:$C,'Input sheet'!E:E,"Manual")</f>
        <v>km</v>
      </c>
    </row>
    <row r="102" spans="1:7">
      <c r="A102" t="str">
        <f>'Input sheet'!$D$18&amp;'Input sheet'!$D$19</f>
        <v/>
      </c>
      <c r="B102" t="s">
        <v>577</v>
      </c>
      <c r="C102" t="s">
        <v>237</v>
      </c>
      <c r="D102" s="813">
        <f>_xlfn.XLOOKUP(B99,'Input sheet'!C:C,'Input sheet'!D:D,_xlfn.XLOOKUP(C99,'Input sheet'!C:C,'Input sheet'!D:D,"check",,-1))</f>
        <v>0</v>
      </c>
      <c r="E102" s="813" t="str">
        <f>_xlfn.XLOOKUP($B102,'Input sheet'!$C:$C,'Input sheet'!E:E,_xlfn.XLOOKUP(C102,'Input sheet'!C:C,'Input sheet'!E:E,"check",,-1))</f>
        <v>number of people</v>
      </c>
      <c r="G102" s="813" t="s">
        <v>1600</v>
      </c>
    </row>
    <row r="103" spans="1:7">
      <c r="A103" t="str">
        <f>'Input sheet'!$D$18&amp;'Input sheet'!$D$19</f>
        <v/>
      </c>
      <c r="B103" t="s">
        <v>242</v>
      </c>
      <c r="D103">
        <f>_xlfn.XLOOKUP(B103,'Input sheet'!C:C,'Input sheet'!D:D,"Manual")</f>
        <v>0</v>
      </c>
      <c r="E103" t="str">
        <f>_xlfn.XLOOKUP($B103,'Input sheet'!$C:$C,'Input sheet'!E:E,"Manual")</f>
        <v>%</v>
      </c>
    </row>
    <row r="104" spans="1:7">
      <c r="A104" t="str">
        <f>'Input sheet'!$D$18&amp;'Input sheet'!$D$19</f>
        <v/>
      </c>
      <c r="B104" t="s">
        <v>244</v>
      </c>
      <c r="D104">
        <f>_xlfn.XLOOKUP(B104,'Input sheet'!C:C,'Input sheet'!D:D,"Manual")</f>
        <v>0</v>
      </c>
      <c r="E104" t="str">
        <f>_xlfn.XLOOKUP($B104,'Input sheet'!$C:$C,'Input sheet'!E:E,"Manual")</f>
        <v>km</v>
      </c>
    </row>
    <row r="105" spans="1:7">
      <c r="A105" t="str">
        <f>'Input sheet'!$D$18&amp;'Input sheet'!$D$19</f>
        <v/>
      </c>
      <c r="B105" t="s">
        <v>245</v>
      </c>
      <c r="D105">
        <f>_xlfn.XLOOKUP(B105,'Input sheet'!C:C,'Input sheet'!D:D,"Manual")</f>
        <v>0</v>
      </c>
      <c r="E105" t="str">
        <f>_xlfn.XLOOKUP($B105,'Input sheet'!$C:$C,'Input sheet'!E:E,"Manual")</f>
        <v>%</v>
      </c>
    </row>
    <row r="106" spans="1:7">
      <c r="A106" t="str">
        <f>'Input sheet'!$D$18&amp;'Input sheet'!$D$19</f>
        <v/>
      </c>
      <c r="B106" t="s">
        <v>247</v>
      </c>
      <c r="D106">
        <f>_xlfn.XLOOKUP(B106,'Input sheet'!C:C,'Input sheet'!D:D,"Manual")</f>
        <v>0</v>
      </c>
      <c r="E106" t="str">
        <f>_xlfn.XLOOKUP($B106,'Input sheet'!$C:$C,'Input sheet'!E:E,"Manual")</f>
        <v>km</v>
      </c>
    </row>
    <row r="107" spans="1:7">
      <c r="A107" t="str">
        <f>'Input sheet'!$D$18&amp;'Input sheet'!$D$19</f>
        <v/>
      </c>
      <c r="B107" t="s">
        <v>248</v>
      </c>
      <c r="D107">
        <f>_xlfn.XLOOKUP(B107,'Input sheet'!C:C,'Input sheet'!D:D,"Manual")</f>
        <v>0</v>
      </c>
      <c r="E107" t="str">
        <f>_xlfn.XLOOKUP($B107,'Input sheet'!$C:$C,'Input sheet'!E:E,"Manual")</f>
        <v>%</v>
      </c>
    </row>
    <row r="108" spans="1:7">
      <c r="A108" t="str">
        <f>'Input sheet'!$D$18&amp;'Input sheet'!$D$19</f>
        <v/>
      </c>
      <c r="B108" t="s">
        <v>250</v>
      </c>
      <c r="D108">
        <f>_xlfn.XLOOKUP(B108,'Input sheet'!C:C,'Input sheet'!D:D,"Manual")</f>
        <v>0</v>
      </c>
      <c r="E108" t="str">
        <f>_xlfn.XLOOKUP($B108,'Input sheet'!$C:$C,'Input sheet'!E:E,"Manual")</f>
        <v>km</v>
      </c>
    </row>
    <row r="109" spans="1:7">
      <c r="A109" t="str">
        <f>'Input sheet'!$D$18&amp;'Input sheet'!$D$19</f>
        <v/>
      </c>
      <c r="B109" t="s">
        <v>251</v>
      </c>
      <c r="D109">
        <f>_xlfn.XLOOKUP(B109,'Input sheet'!C:C,'Input sheet'!D:D,"Manual")</f>
        <v>0</v>
      </c>
      <c r="E109" t="str">
        <f>_xlfn.XLOOKUP($B109,'Input sheet'!$C:$C,'Input sheet'!E:E,"Manual")</f>
        <v>%</v>
      </c>
    </row>
    <row r="110" spans="1:7">
      <c r="A110" t="str">
        <f>'Input sheet'!$D$18&amp;'Input sheet'!$D$19</f>
        <v/>
      </c>
      <c r="B110" t="s">
        <v>253</v>
      </c>
      <c r="D110">
        <f>_xlfn.XLOOKUP(B110,'Input sheet'!C:C,'Input sheet'!D:D,"Manual")</f>
        <v>0</v>
      </c>
      <c r="E110" t="str">
        <f>_xlfn.XLOOKUP($B110,'Input sheet'!$C:$C,'Input sheet'!E:E,"Manual")</f>
        <v>km</v>
      </c>
    </row>
    <row r="111" spans="1:7">
      <c r="A111" t="str">
        <f>'Input sheet'!$D$18&amp;'Input sheet'!$D$19</f>
        <v/>
      </c>
      <c r="B111" t="s">
        <v>255</v>
      </c>
      <c r="D111">
        <f>_xlfn.XLOOKUP(B111,'Input sheet'!C:C,'Input sheet'!D:D,"Manual")</f>
        <v>0</v>
      </c>
      <c r="E111" t="str">
        <f>_xlfn.XLOOKUP($B111,'Input sheet'!$C:$C,'Input sheet'!E:E,"Manual")</f>
        <v>number of people</v>
      </c>
    </row>
    <row r="112" spans="1:7">
      <c r="A112" t="str">
        <f>'Input sheet'!$D$18&amp;'Input sheet'!$D$19</f>
        <v/>
      </c>
      <c r="B112" t="s">
        <v>257</v>
      </c>
      <c r="D112">
        <f>_xlfn.XLOOKUP(B112,'Input sheet'!C:C,'Input sheet'!D:D,"Manual")</f>
        <v>0</v>
      </c>
      <c r="E112" t="str">
        <f>_xlfn.XLOOKUP($B112,'Input sheet'!$C:$C,'Input sheet'!E:E,"Manual")</f>
        <v>km</v>
      </c>
    </row>
    <row r="113" spans="1:7">
      <c r="A113" t="str">
        <f>'Input sheet'!$D$18&amp;'Input sheet'!$D$19</f>
        <v/>
      </c>
      <c r="B113" t="s">
        <v>259</v>
      </c>
      <c r="D113">
        <f>_xlfn.XLOOKUP(B113,'Input sheet'!C:C,'Input sheet'!D:D,"Manual")</f>
        <v>0</v>
      </c>
      <c r="E113" t="str">
        <f>_xlfn.XLOOKUP($B113,'Input sheet'!$C:$C,'Input sheet'!E:E,"Manual")</f>
        <v>%</v>
      </c>
    </row>
    <row r="114" spans="1:7">
      <c r="A114" t="str">
        <f>'Input sheet'!$D$18&amp;'Input sheet'!$D$19</f>
        <v/>
      </c>
      <c r="B114" t="s">
        <v>261</v>
      </c>
      <c r="D114">
        <f>_xlfn.XLOOKUP(B114,'Input sheet'!C:C,'Input sheet'!D:D,"Manual")</f>
        <v>0</v>
      </c>
      <c r="E114" t="str">
        <f>_xlfn.XLOOKUP($B114,'Input sheet'!$C:$C,'Input sheet'!E:E,"Manual")</f>
        <v>number of people</v>
      </c>
    </row>
    <row r="115" spans="1:7">
      <c r="A115" t="str">
        <f>'Input sheet'!$D$18&amp;'Input sheet'!$D$19</f>
        <v/>
      </c>
      <c r="B115" t="s">
        <v>263</v>
      </c>
      <c r="D115">
        <f>_xlfn.XLOOKUP(B115,'Input sheet'!C:C,'Input sheet'!D:D,"Manual")</f>
        <v>0</v>
      </c>
      <c r="E115" t="str">
        <f>_xlfn.XLOOKUP($B115,'Input sheet'!$C:$C,'Input sheet'!E:E,"Manual")</f>
        <v>km</v>
      </c>
    </row>
    <row r="116" spans="1:7">
      <c r="A116" t="str">
        <f>'Input sheet'!$D$18&amp;'Input sheet'!$D$19</f>
        <v/>
      </c>
      <c r="B116" t="s">
        <v>265</v>
      </c>
      <c r="D116">
        <f>_xlfn.XLOOKUP(B116,'Input sheet'!C:C,'Input sheet'!D:D,"Manual")</f>
        <v>0</v>
      </c>
      <c r="E116" t="str">
        <f>_xlfn.XLOOKUP($B116,'Input sheet'!$C:$C,'Input sheet'!E:E,"Manual")</f>
        <v>%</v>
      </c>
    </row>
    <row r="117" spans="1:7">
      <c r="A117" t="str">
        <f>'Input sheet'!$D$18&amp;'Input sheet'!$D$19</f>
        <v/>
      </c>
      <c r="B117" t="s">
        <v>269</v>
      </c>
      <c r="D117">
        <f>_xlfn.XLOOKUP(B117,'Input sheet'!C:C,'Input sheet'!D:D,"Manual")</f>
        <v>0</v>
      </c>
      <c r="E117" t="str">
        <f>_xlfn.XLOOKUP($B117,'Input sheet'!$C:$C,'Input sheet'!E:E,"Manual")</f>
        <v>%</v>
      </c>
    </row>
    <row r="118" spans="1:7">
      <c r="A118" t="str">
        <f>'Input sheet'!$D$18&amp;'Input sheet'!$D$19</f>
        <v/>
      </c>
      <c r="B118" t="s">
        <v>271</v>
      </c>
      <c r="D118">
        <f>_xlfn.XLOOKUP(B118,'Input sheet'!C:C,'Input sheet'!D:D,"Manual")</f>
        <v>0</v>
      </c>
      <c r="E118" t="str">
        <f>_xlfn.XLOOKUP($B118,'Input sheet'!$C:$C,'Input sheet'!E:E,"Manual")</f>
        <v>km</v>
      </c>
    </row>
    <row r="119" spans="1:7">
      <c r="A119" t="str">
        <f>'Input sheet'!$D$18&amp;'Input sheet'!$D$19</f>
        <v/>
      </c>
      <c r="B119" t="s">
        <v>272</v>
      </c>
      <c r="D119">
        <f>_xlfn.XLOOKUP(B119,'Input sheet'!C:C,'Input sheet'!D:D,"Manual")</f>
        <v>0</v>
      </c>
      <c r="E119" t="str">
        <f>_xlfn.XLOOKUP($B119,'Input sheet'!$C:$C,'Input sheet'!E:E,"Manual")</f>
        <v>%</v>
      </c>
    </row>
    <row r="120" spans="1:7">
      <c r="A120" t="str">
        <f>'Input sheet'!$D$18&amp;'Input sheet'!$D$19</f>
        <v/>
      </c>
      <c r="B120" t="s">
        <v>274</v>
      </c>
      <c r="D120">
        <f>_xlfn.XLOOKUP(B120,'Input sheet'!C:C,'Input sheet'!D:D,"Manual")</f>
        <v>0</v>
      </c>
      <c r="E120" t="str">
        <f>_xlfn.XLOOKUP($B120,'Input sheet'!$C:$C,'Input sheet'!E:E,"Manual")</f>
        <v>km</v>
      </c>
    </row>
    <row r="121" spans="1:7">
      <c r="A121" t="str">
        <f>'Input sheet'!$D$18&amp;'Input sheet'!$D$19</f>
        <v/>
      </c>
      <c r="B121" t="s">
        <v>275</v>
      </c>
      <c r="D121">
        <f>_xlfn.XLOOKUP(B121,'Input sheet'!C:C,'Input sheet'!D:D,"Manual")</f>
        <v>0</v>
      </c>
      <c r="E121" t="str">
        <f>_xlfn.XLOOKUP($B121,'Input sheet'!$C:$C,'Input sheet'!E:E,"Manual")</f>
        <v>%</v>
      </c>
    </row>
    <row r="122" spans="1:7">
      <c r="A122" t="str">
        <f>'Input sheet'!$D$18&amp;'Input sheet'!$D$19</f>
        <v/>
      </c>
      <c r="B122" t="s">
        <v>277</v>
      </c>
      <c r="D122">
        <f>_xlfn.XLOOKUP(B122,'Input sheet'!C:C,'Input sheet'!D:D,"Manual")</f>
        <v>0</v>
      </c>
      <c r="E122" t="str">
        <f>_xlfn.XLOOKUP($B122,'Input sheet'!$C:$C,'Input sheet'!E:E,"Manual")</f>
        <v>km</v>
      </c>
    </row>
    <row r="123" spans="1:7">
      <c r="A123" t="str">
        <f>'Input sheet'!$D$18&amp;'Input sheet'!$D$19</f>
        <v/>
      </c>
      <c r="B123" t="s">
        <v>278</v>
      </c>
      <c r="D123">
        <f>_xlfn.XLOOKUP(B123,'Input sheet'!C:C,'Input sheet'!D:D,"Manual")</f>
        <v>0</v>
      </c>
      <c r="E123" t="str">
        <f>_xlfn.XLOOKUP($B123,'Input sheet'!$C:$C,'Input sheet'!E:E,"Manual")</f>
        <v>%</v>
      </c>
    </row>
    <row r="124" spans="1:7">
      <c r="A124" t="str">
        <f>'Input sheet'!$D$18&amp;'Input sheet'!$D$19</f>
        <v/>
      </c>
      <c r="B124" t="s">
        <v>280</v>
      </c>
      <c r="D124">
        <f>_xlfn.XLOOKUP(B124,'Input sheet'!C:C,'Input sheet'!D:D,"Manual")</f>
        <v>0</v>
      </c>
      <c r="E124" t="str">
        <f>_xlfn.XLOOKUP($B124,'Input sheet'!$C:$C,'Input sheet'!E:E,"Manual")</f>
        <v>km</v>
      </c>
    </row>
    <row r="125" spans="1:7">
      <c r="A125" t="str">
        <f>'Input sheet'!$D$18&amp;'Input sheet'!$D$19</f>
        <v/>
      </c>
      <c r="B125" t="s">
        <v>281</v>
      </c>
      <c r="D125">
        <f>_xlfn.XLOOKUP(B125,'Input sheet'!C:C,'Input sheet'!D:D,"Manual")</f>
        <v>0</v>
      </c>
      <c r="E125" t="str">
        <f>_xlfn.XLOOKUP($B125,'Input sheet'!$C:$C,'Input sheet'!E:E,"Manual")</f>
        <v>%</v>
      </c>
    </row>
    <row r="126" spans="1:7">
      <c r="A126" t="str">
        <f>'Input sheet'!$D$18&amp;'Input sheet'!$D$19</f>
        <v/>
      </c>
      <c r="B126" t="s">
        <v>283</v>
      </c>
      <c r="D126">
        <f>_xlfn.XLOOKUP(B126,'Input sheet'!C:C,'Input sheet'!D:D,"Manual")</f>
        <v>0</v>
      </c>
      <c r="E126" t="str">
        <f>_xlfn.XLOOKUP($B126,'Input sheet'!$C:$C,'Input sheet'!E:E,"Manual")</f>
        <v>km</v>
      </c>
    </row>
    <row r="127" spans="1:7">
      <c r="A127" t="str">
        <f>'Input sheet'!$D$18&amp;'Input sheet'!$D$19</f>
        <v/>
      </c>
      <c r="B127" t="s">
        <v>579</v>
      </c>
      <c r="C127" t="s">
        <v>284</v>
      </c>
      <c r="D127" s="813">
        <f>_xlfn.XLOOKUP(B127,'Input sheet'!C:C,'Input sheet'!D:D,_xlfn.XLOOKUP(C127,'Input sheet'!C:C,'Input sheet'!D:D,"check",,1))</f>
        <v>0</v>
      </c>
      <c r="E127" s="813" t="str">
        <f>_xlfn.XLOOKUP($B127,'Input sheet'!$C:$C,'Input sheet'!E:E,_xlfn.XLOOKUP(C127,'Input sheet'!C:C,'Input sheet'!E:E,"check",,1))</f>
        <v>number of people</v>
      </c>
      <c r="G127" s="813" t="s">
        <v>1600</v>
      </c>
    </row>
    <row r="128" spans="1:7">
      <c r="A128" t="str">
        <f>'Input sheet'!$D$18&amp;'Input sheet'!$D$19</f>
        <v/>
      </c>
      <c r="B128" t="s">
        <v>285</v>
      </c>
      <c r="D128">
        <f>_xlfn.XLOOKUP(B128,'Input sheet'!C:C,'Input sheet'!D:D,"Manual")</f>
        <v>0</v>
      </c>
      <c r="E128" t="str">
        <f>_xlfn.XLOOKUP($B128,'Input sheet'!$C:$C,'Input sheet'!E:E,"Manual")</f>
        <v>%</v>
      </c>
    </row>
    <row r="129" spans="1:7">
      <c r="A129" t="str">
        <f>'Input sheet'!$D$18&amp;'Input sheet'!$D$19</f>
        <v/>
      </c>
      <c r="B129" t="s">
        <v>287</v>
      </c>
      <c r="D129">
        <f>_xlfn.XLOOKUP(B129,'Input sheet'!C:C,'Input sheet'!D:D,"Manual")</f>
        <v>0</v>
      </c>
      <c r="E129" t="str">
        <f>_xlfn.XLOOKUP($B129,'Input sheet'!$C:$C,'Input sheet'!E:E,"Manual")</f>
        <v>km</v>
      </c>
    </row>
    <row r="130" spans="1:7">
      <c r="A130" t="str">
        <f>'Input sheet'!$D$18&amp;'Input sheet'!$D$19</f>
        <v/>
      </c>
      <c r="B130" t="s">
        <v>580</v>
      </c>
      <c r="C130" t="s">
        <v>284</v>
      </c>
      <c r="D130" s="813">
        <f>_xlfn.XLOOKUP(B127,'Input sheet'!C:C,'Input sheet'!D:D,_xlfn.XLOOKUP(C127,'Input sheet'!C:C,'Input sheet'!D:D,"check",,-1))</f>
        <v>0</v>
      </c>
      <c r="E130" s="813" t="str">
        <f>_xlfn.XLOOKUP($B130,'Input sheet'!$C:$C,'Input sheet'!E:E,_xlfn.XLOOKUP(C130,'Input sheet'!C:C,'Input sheet'!E:E,"check",,-1))</f>
        <v>number of people</v>
      </c>
      <c r="G130" s="813" t="s">
        <v>1600</v>
      </c>
    </row>
    <row r="131" spans="1:7">
      <c r="A131" t="str">
        <f>'Input sheet'!$D$18&amp;'Input sheet'!$D$19</f>
        <v/>
      </c>
      <c r="B131" t="s">
        <v>288</v>
      </c>
      <c r="D131">
        <f>_xlfn.XLOOKUP(B131,'Input sheet'!C:C,'Input sheet'!D:D,"Manual")</f>
        <v>0</v>
      </c>
      <c r="E131" t="str">
        <f>_xlfn.XLOOKUP($B131,'Input sheet'!$C:$C,'Input sheet'!E:E,"Manual")</f>
        <v>%</v>
      </c>
    </row>
    <row r="132" spans="1:7">
      <c r="A132" t="str">
        <f>'Input sheet'!$D$18&amp;'Input sheet'!$D$19</f>
        <v/>
      </c>
      <c r="B132" t="s">
        <v>290</v>
      </c>
      <c r="D132">
        <f>_xlfn.XLOOKUP(B132,'Input sheet'!C:C,'Input sheet'!D:D,"Manual")</f>
        <v>0</v>
      </c>
      <c r="E132" t="str">
        <f>_xlfn.XLOOKUP($B132,'Input sheet'!$C:$C,'Input sheet'!E:E,"Manual")</f>
        <v>km</v>
      </c>
    </row>
    <row r="133" spans="1:7">
      <c r="A133" t="str">
        <f>'Input sheet'!$D$18&amp;'Input sheet'!$D$19</f>
        <v/>
      </c>
      <c r="B133" t="s">
        <v>291</v>
      </c>
      <c r="D133">
        <f>_xlfn.XLOOKUP(B133,'Input sheet'!C:C,'Input sheet'!D:D,"Manual")</f>
        <v>0</v>
      </c>
      <c r="E133" t="str">
        <f>_xlfn.XLOOKUP($B133,'Input sheet'!$C:$C,'Input sheet'!E:E,"Manual")</f>
        <v>%</v>
      </c>
    </row>
    <row r="134" spans="1:7">
      <c r="A134" t="str">
        <f>'Input sheet'!$D$18&amp;'Input sheet'!$D$19</f>
        <v/>
      </c>
      <c r="B134" t="s">
        <v>293</v>
      </c>
      <c r="D134">
        <f>_xlfn.XLOOKUP(B134,'Input sheet'!C:C,'Input sheet'!D:D,"Manual")</f>
        <v>0</v>
      </c>
      <c r="E134" t="str">
        <f>_xlfn.XLOOKUP($B134,'Input sheet'!$C:$C,'Input sheet'!E:E,"Manual")</f>
        <v>km</v>
      </c>
    </row>
    <row r="135" spans="1:7">
      <c r="A135" t="str">
        <f>'Input sheet'!$D$18&amp;'Input sheet'!$D$19</f>
        <v/>
      </c>
      <c r="B135" t="s">
        <v>294</v>
      </c>
      <c r="D135">
        <f>_xlfn.XLOOKUP(B135,'Input sheet'!C:C,'Input sheet'!D:D,"Manual")</f>
        <v>0</v>
      </c>
      <c r="E135" t="str">
        <f>_xlfn.XLOOKUP($B135,'Input sheet'!$C:$C,'Input sheet'!E:E,"Manual")</f>
        <v>%</v>
      </c>
    </row>
    <row r="136" spans="1:7">
      <c r="A136" t="str">
        <f>'Input sheet'!$D$18&amp;'Input sheet'!$D$19</f>
        <v/>
      </c>
      <c r="B136" t="s">
        <v>296</v>
      </c>
      <c r="D136">
        <f>_xlfn.XLOOKUP(B136,'Input sheet'!C:C,'Input sheet'!D:D,"Manual")</f>
        <v>0</v>
      </c>
      <c r="E136" t="str">
        <f>_xlfn.XLOOKUP($B136,'Input sheet'!$C:$C,'Input sheet'!E:E,"Manual")</f>
        <v>km</v>
      </c>
    </row>
    <row r="137" spans="1:7">
      <c r="A137" t="str">
        <f>'Input sheet'!$D$18&amp;'Input sheet'!$D$19</f>
        <v/>
      </c>
      <c r="B137" t="s">
        <v>297</v>
      </c>
      <c r="D137">
        <f>_xlfn.XLOOKUP(B137,'Input sheet'!C:C,'Input sheet'!D:D,"Manual")</f>
        <v>0</v>
      </c>
      <c r="E137" t="str">
        <f>_xlfn.XLOOKUP($B137,'Input sheet'!$C:$C,'Input sheet'!E:E,"Manual")</f>
        <v>%</v>
      </c>
    </row>
    <row r="138" spans="1:7">
      <c r="A138" t="str">
        <f>'Input sheet'!$D$18&amp;'Input sheet'!$D$19</f>
        <v/>
      </c>
      <c r="B138" t="s">
        <v>299</v>
      </c>
      <c r="D138">
        <f>_xlfn.XLOOKUP(B138,'Input sheet'!C:C,'Input sheet'!D:D,"Manual")</f>
        <v>0</v>
      </c>
      <c r="E138" t="str">
        <f>_xlfn.XLOOKUP($B138,'Input sheet'!$C:$C,'Input sheet'!E:E,"Manual")</f>
        <v>km</v>
      </c>
    </row>
    <row r="139" spans="1:7">
      <c r="A139" t="str">
        <f>'Input sheet'!$D$18&amp;'Input sheet'!$D$19</f>
        <v/>
      </c>
      <c r="B139" t="s">
        <v>301</v>
      </c>
      <c r="D139">
        <f>_xlfn.XLOOKUP(B139,'Input sheet'!C:C,'Input sheet'!D:D,"Manual")</f>
        <v>0</v>
      </c>
      <c r="E139" t="str">
        <f>_xlfn.XLOOKUP($B139,'Input sheet'!$C:$C,'Input sheet'!E:E,"Manual")</f>
        <v>number of people</v>
      </c>
    </row>
    <row r="140" spans="1:7">
      <c r="A140" t="str">
        <f>'Input sheet'!$D$18&amp;'Input sheet'!$D$19</f>
        <v/>
      </c>
      <c r="B140" t="s">
        <v>302</v>
      </c>
      <c r="D140">
        <f>_xlfn.XLOOKUP(B140,'Input sheet'!C:C,'Input sheet'!D:D,"Manual")</f>
        <v>0</v>
      </c>
      <c r="E140" t="str">
        <f>_xlfn.XLOOKUP($B140,'Input sheet'!$C:$C,'Input sheet'!E:E,"Manual")</f>
        <v>km</v>
      </c>
    </row>
    <row r="141" spans="1:7">
      <c r="A141" t="str">
        <f>'Input sheet'!$D$18&amp;'Input sheet'!$D$19</f>
        <v/>
      </c>
      <c r="B141" t="s">
        <v>304</v>
      </c>
      <c r="D141">
        <f>_xlfn.XLOOKUP(B141,'Input sheet'!C:C,'Input sheet'!D:D,"Manual")</f>
        <v>0</v>
      </c>
      <c r="E141" t="str">
        <f>_xlfn.XLOOKUP($B141,'Input sheet'!$C:$C,'Input sheet'!E:E,"Manual")</f>
        <v>%</v>
      </c>
    </row>
    <row r="142" spans="1:7">
      <c r="A142" t="str">
        <f>'Input sheet'!$D$18&amp;'Input sheet'!$D$19</f>
        <v/>
      </c>
      <c r="B142" t="s">
        <v>305</v>
      </c>
      <c r="D142">
        <f>_xlfn.XLOOKUP(B142,'Input sheet'!C:C,'Input sheet'!D:D,"Manual")</f>
        <v>0</v>
      </c>
      <c r="E142" t="str">
        <f>_xlfn.XLOOKUP($B142,'Input sheet'!$C:$C,'Input sheet'!E:E,"Manual")</f>
        <v>number of people</v>
      </c>
    </row>
    <row r="143" spans="1:7">
      <c r="A143" t="str">
        <f>'Input sheet'!$D$18&amp;'Input sheet'!$D$19</f>
        <v/>
      </c>
      <c r="B143" t="s">
        <v>306</v>
      </c>
      <c r="D143">
        <f>_xlfn.XLOOKUP(B143,'Input sheet'!C:C,'Input sheet'!D:D,"Manual")</f>
        <v>0</v>
      </c>
      <c r="E143" t="str">
        <f>_xlfn.XLOOKUP($B143,'Input sheet'!$C:$C,'Input sheet'!E:E,"Manual")</f>
        <v>km</v>
      </c>
    </row>
    <row r="144" spans="1:7">
      <c r="A144" t="str">
        <f>'Input sheet'!$D$18&amp;'Input sheet'!$D$19</f>
        <v/>
      </c>
      <c r="B144" t="s">
        <v>308</v>
      </c>
      <c r="D144">
        <f>_xlfn.XLOOKUP(B144,'Input sheet'!C:C,'Input sheet'!D:D,"Manual")</f>
        <v>0</v>
      </c>
      <c r="E144" t="str">
        <f>_xlfn.XLOOKUP($B144,'Input sheet'!$C:$C,'Input sheet'!E:E,"Manual")</f>
        <v>%</v>
      </c>
    </row>
    <row r="145" spans="1:7">
      <c r="A145" t="str">
        <f>'Input sheet'!$D$18&amp;'Input sheet'!$D$19</f>
        <v/>
      </c>
      <c r="B145" t="s">
        <v>311</v>
      </c>
      <c r="D145">
        <f>_xlfn.XLOOKUP(B145,'Input sheet'!C:C,'Input sheet'!D:D,"Manual")</f>
        <v>0</v>
      </c>
      <c r="E145" t="str">
        <f>_xlfn.XLOOKUP($B145,'Input sheet'!$C:$C,'Input sheet'!E:E,"Manual")</f>
        <v>%</v>
      </c>
    </row>
    <row r="146" spans="1:7">
      <c r="A146" t="str">
        <f>'Input sheet'!$D$18&amp;'Input sheet'!$D$19</f>
        <v/>
      </c>
      <c r="B146" t="s">
        <v>313</v>
      </c>
      <c r="D146">
        <f>_xlfn.XLOOKUP(B146,'Input sheet'!C:C,'Input sheet'!D:D,"Manual")</f>
        <v>0</v>
      </c>
      <c r="E146" t="str">
        <f>_xlfn.XLOOKUP($B146,'Input sheet'!$C:$C,'Input sheet'!E:E,"Manual")</f>
        <v>km</v>
      </c>
    </row>
    <row r="147" spans="1:7">
      <c r="A147" t="str">
        <f>'Input sheet'!$D$18&amp;'Input sheet'!$D$19</f>
        <v/>
      </c>
      <c r="B147" t="s">
        <v>314</v>
      </c>
      <c r="D147">
        <f>_xlfn.XLOOKUP(B147,'Input sheet'!C:C,'Input sheet'!D:D,"Manual")</f>
        <v>0</v>
      </c>
      <c r="E147" t="str">
        <f>_xlfn.XLOOKUP($B147,'Input sheet'!$C:$C,'Input sheet'!E:E,"Manual")</f>
        <v>%</v>
      </c>
    </row>
    <row r="148" spans="1:7">
      <c r="A148" t="str">
        <f>'Input sheet'!$D$18&amp;'Input sheet'!$D$19</f>
        <v/>
      </c>
      <c r="B148" t="s">
        <v>316</v>
      </c>
      <c r="D148">
        <f>_xlfn.XLOOKUP(B148,'Input sheet'!C:C,'Input sheet'!D:D,"Manual")</f>
        <v>0</v>
      </c>
      <c r="E148" t="str">
        <f>_xlfn.XLOOKUP($B148,'Input sheet'!$C:$C,'Input sheet'!E:E,"Manual")</f>
        <v>km</v>
      </c>
    </row>
    <row r="149" spans="1:7">
      <c r="A149" t="str">
        <f>'Input sheet'!$D$18&amp;'Input sheet'!$D$19</f>
        <v/>
      </c>
      <c r="B149" t="s">
        <v>317</v>
      </c>
      <c r="D149">
        <f>_xlfn.XLOOKUP(B149,'Input sheet'!C:C,'Input sheet'!D:D,"Manual")</f>
        <v>0</v>
      </c>
      <c r="E149" t="str">
        <f>_xlfn.XLOOKUP($B149,'Input sheet'!$C:$C,'Input sheet'!E:E,"Manual")</f>
        <v>%</v>
      </c>
    </row>
    <row r="150" spans="1:7">
      <c r="A150" t="str">
        <f>'Input sheet'!$D$18&amp;'Input sheet'!$D$19</f>
        <v/>
      </c>
      <c r="B150" t="s">
        <v>319</v>
      </c>
      <c r="D150">
        <f>_xlfn.XLOOKUP(B150,'Input sheet'!C:C,'Input sheet'!D:D,"Manual")</f>
        <v>0</v>
      </c>
      <c r="E150" t="str">
        <f>_xlfn.XLOOKUP($B150,'Input sheet'!$C:$C,'Input sheet'!E:E,"Manual")</f>
        <v>km</v>
      </c>
    </row>
    <row r="151" spans="1:7">
      <c r="A151" t="str">
        <f>'Input sheet'!$D$18&amp;'Input sheet'!$D$19</f>
        <v/>
      </c>
      <c r="B151" t="s">
        <v>320</v>
      </c>
      <c r="D151">
        <f>_xlfn.XLOOKUP(B151,'Input sheet'!C:C,'Input sheet'!D:D,"Manual")</f>
        <v>0</v>
      </c>
      <c r="E151" t="str">
        <f>_xlfn.XLOOKUP($B151,'Input sheet'!$C:$C,'Input sheet'!E:E,"Manual")</f>
        <v>%</v>
      </c>
    </row>
    <row r="152" spans="1:7">
      <c r="A152" t="str">
        <f>'Input sheet'!$D$18&amp;'Input sheet'!$D$19</f>
        <v/>
      </c>
      <c r="B152" t="s">
        <v>322</v>
      </c>
      <c r="D152">
        <f>_xlfn.XLOOKUP(B152,'Input sheet'!C:C,'Input sheet'!D:D,"Manual")</f>
        <v>0</v>
      </c>
      <c r="E152" t="str">
        <f>_xlfn.XLOOKUP($B152,'Input sheet'!$C:$C,'Input sheet'!E:E,"Manual")</f>
        <v>km</v>
      </c>
    </row>
    <row r="153" spans="1:7">
      <c r="A153" t="str">
        <f>'Input sheet'!$D$18&amp;'Input sheet'!$D$19</f>
        <v/>
      </c>
      <c r="B153" t="s">
        <v>323</v>
      </c>
      <c r="D153">
        <f>_xlfn.XLOOKUP(B153,'Input sheet'!C:C,'Input sheet'!D:D,"Manual")</f>
        <v>0</v>
      </c>
      <c r="E153" t="str">
        <f>_xlfn.XLOOKUP($B153,'Input sheet'!$C:$C,'Input sheet'!E:E,"Manual")</f>
        <v>%</v>
      </c>
    </row>
    <row r="154" spans="1:7">
      <c r="A154" t="str">
        <f>'Input sheet'!$D$18&amp;'Input sheet'!$D$19</f>
        <v/>
      </c>
      <c r="B154" t="s">
        <v>325</v>
      </c>
      <c r="D154">
        <f>_xlfn.XLOOKUP(B154,'Input sheet'!C:C,'Input sheet'!D:D,"Manual")</f>
        <v>0</v>
      </c>
      <c r="E154" t="str">
        <f>_xlfn.XLOOKUP($B154,'Input sheet'!$C:$C,'Input sheet'!E:E,"Manual")</f>
        <v>km</v>
      </c>
    </row>
    <row r="155" spans="1:7">
      <c r="A155" t="str">
        <f>'Input sheet'!$D$18&amp;'Input sheet'!$D$19</f>
        <v/>
      </c>
      <c r="B155" t="s">
        <v>581</v>
      </c>
      <c r="C155" t="s">
        <v>326</v>
      </c>
      <c r="D155" s="813">
        <f>_xlfn.XLOOKUP(B155,'Input sheet'!C:C,'Input sheet'!D:D,_xlfn.XLOOKUP(C155,'Input sheet'!C:C,'Input sheet'!D:D,"check",,1))</f>
        <v>0</v>
      </c>
      <c r="E155" s="813" t="str">
        <f>_xlfn.XLOOKUP($B155,'Input sheet'!$C:$C,'Input sheet'!E:E,_xlfn.XLOOKUP(C155,'Input sheet'!C:C,'Input sheet'!E:E,"check",,1))</f>
        <v>number of people</v>
      </c>
      <c r="G155" s="813" t="s">
        <v>1600</v>
      </c>
    </row>
    <row r="156" spans="1:7">
      <c r="A156" t="str">
        <f>'Input sheet'!$D$18&amp;'Input sheet'!$D$19</f>
        <v/>
      </c>
      <c r="B156" t="s">
        <v>327</v>
      </c>
      <c r="D156">
        <f>_xlfn.XLOOKUP(B156,'Input sheet'!C:C,'Input sheet'!D:D,"Manual")</f>
        <v>0</v>
      </c>
      <c r="E156" t="str">
        <f>_xlfn.XLOOKUP($B156,'Input sheet'!$C:$C,'Input sheet'!E:E,"Manual")</f>
        <v>%</v>
      </c>
    </row>
    <row r="157" spans="1:7">
      <c r="A157" t="str">
        <f>'Input sheet'!$D$18&amp;'Input sheet'!$D$19</f>
        <v/>
      </c>
      <c r="B157" t="s">
        <v>329</v>
      </c>
      <c r="D157">
        <f>_xlfn.XLOOKUP(B157,'Input sheet'!C:C,'Input sheet'!D:D,"Manual")</f>
        <v>0</v>
      </c>
      <c r="E157" t="str">
        <f>_xlfn.XLOOKUP($B157,'Input sheet'!$C:$C,'Input sheet'!E:E,"Manual")</f>
        <v>km</v>
      </c>
    </row>
    <row r="158" spans="1:7">
      <c r="A158" t="str">
        <f>'Input sheet'!$D$18&amp;'Input sheet'!$D$19</f>
        <v/>
      </c>
      <c r="B158" t="s">
        <v>582</v>
      </c>
      <c r="C158" t="s">
        <v>326</v>
      </c>
      <c r="D158" s="813">
        <f>_xlfn.XLOOKUP(B155,'Input sheet'!C:C,'Input sheet'!D:D,_xlfn.XLOOKUP(C155,'Input sheet'!C:C,'Input sheet'!D:D,"check",,-1))</f>
        <v>0</v>
      </c>
      <c r="E158" s="813" t="str">
        <f>_xlfn.XLOOKUP($B158,'Input sheet'!$C:$C,'Input sheet'!E:E,_xlfn.XLOOKUP(C158,'Input sheet'!C:C,'Input sheet'!E:E,"check",,-1))</f>
        <v>number of people</v>
      </c>
      <c r="G158" s="813" t="s">
        <v>1600</v>
      </c>
    </row>
    <row r="159" spans="1:7">
      <c r="A159" t="str">
        <f>'Input sheet'!$D$18&amp;'Input sheet'!$D$19</f>
        <v/>
      </c>
      <c r="B159" t="s">
        <v>330</v>
      </c>
      <c r="D159">
        <f>_xlfn.XLOOKUP(B159,'Input sheet'!C:C,'Input sheet'!D:D,"Manual")</f>
        <v>0</v>
      </c>
      <c r="E159" t="str">
        <f>_xlfn.XLOOKUP($B159,'Input sheet'!$C:$C,'Input sheet'!E:E,"Manual")</f>
        <v>%</v>
      </c>
    </row>
    <row r="160" spans="1:7">
      <c r="A160" t="str">
        <f>'Input sheet'!$D$18&amp;'Input sheet'!$D$19</f>
        <v/>
      </c>
      <c r="B160" t="s">
        <v>332</v>
      </c>
      <c r="D160">
        <f>_xlfn.XLOOKUP(B160,'Input sheet'!C:C,'Input sheet'!D:D,"Manual")</f>
        <v>0</v>
      </c>
      <c r="E160" t="str">
        <f>_xlfn.XLOOKUP($B160,'Input sheet'!$C:$C,'Input sheet'!E:E,"Manual")</f>
        <v>km</v>
      </c>
    </row>
    <row r="161" spans="1:7">
      <c r="A161" t="str">
        <f>'Input sheet'!$D$18&amp;'Input sheet'!$D$19</f>
        <v/>
      </c>
      <c r="B161" t="s">
        <v>333</v>
      </c>
      <c r="D161">
        <f>_xlfn.XLOOKUP(B161,'Input sheet'!C:C,'Input sheet'!D:D,"Manual")</f>
        <v>0</v>
      </c>
      <c r="E161" t="str">
        <f>_xlfn.XLOOKUP($B161,'Input sheet'!$C:$C,'Input sheet'!E:E,"Manual")</f>
        <v>%</v>
      </c>
    </row>
    <row r="162" spans="1:7">
      <c r="A162" t="str">
        <f>'Input sheet'!$D$18&amp;'Input sheet'!$D$19</f>
        <v/>
      </c>
      <c r="B162" t="s">
        <v>335</v>
      </c>
      <c r="D162">
        <f>_xlfn.XLOOKUP(B162,'Input sheet'!C:C,'Input sheet'!D:D,"Manual")</f>
        <v>0</v>
      </c>
      <c r="E162" t="str">
        <f>_xlfn.XLOOKUP($B162,'Input sheet'!$C:$C,'Input sheet'!E:E,"Manual")</f>
        <v>km</v>
      </c>
    </row>
    <row r="163" spans="1:7">
      <c r="A163" t="str">
        <f>'Input sheet'!$D$18&amp;'Input sheet'!$D$19</f>
        <v/>
      </c>
      <c r="B163" t="s">
        <v>336</v>
      </c>
      <c r="D163">
        <f>_xlfn.XLOOKUP(B163,'Input sheet'!C:C,'Input sheet'!D:D,"Manual")</f>
        <v>0</v>
      </c>
      <c r="E163" t="str">
        <f>_xlfn.XLOOKUP($B163,'Input sheet'!$C:$C,'Input sheet'!E:E,"Manual")</f>
        <v>%</v>
      </c>
    </row>
    <row r="164" spans="1:7">
      <c r="A164" t="str">
        <f>'Input sheet'!$D$18&amp;'Input sheet'!$D$19</f>
        <v/>
      </c>
      <c r="B164" t="s">
        <v>338</v>
      </c>
      <c r="D164">
        <f>_xlfn.XLOOKUP(B164,'Input sheet'!C:C,'Input sheet'!D:D,"Manual")</f>
        <v>0</v>
      </c>
      <c r="E164" t="str">
        <f>_xlfn.XLOOKUP($B164,'Input sheet'!$C:$C,'Input sheet'!E:E,"Manual")</f>
        <v>km</v>
      </c>
    </row>
    <row r="165" spans="1:7">
      <c r="A165" t="str">
        <f>'Input sheet'!$D$18&amp;'Input sheet'!$D$19</f>
        <v/>
      </c>
      <c r="B165" t="s">
        <v>339</v>
      </c>
      <c r="D165">
        <f>_xlfn.XLOOKUP(B165,'Input sheet'!C:C,'Input sheet'!D:D,"Manual")</f>
        <v>0</v>
      </c>
      <c r="E165" t="str">
        <f>_xlfn.XLOOKUP($B165,'Input sheet'!$C:$C,'Input sheet'!E:E,"Manual")</f>
        <v>%</v>
      </c>
    </row>
    <row r="166" spans="1:7">
      <c r="A166" t="str">
        <f>'Input sheet'!$D$18&amp;'Input sheet'!$D$19</f>
        <v/>
      </c>
      <c r="B166" t="s">
        <v>341</v>
      </c>
      <c r="D166">
        <f>_xlfn.XLOOKUP(B166,'Input sheet'!C:C,'Input sheet'!D:D,"Manual")</f>
        <v>0</v>
      </c>
      <c r="E166" t="str">
        <f>_xlfn.XLOOKUP($B166,'Input sheet'!$C:$C,'Input sheet'!E:E,"Manual")</f>
        <v>km</v>
      </c>
    </row>
    <row r="167" spans="1:7">
      <c r="A167" t="str">
        <f>'Input sheet'!$D$18&amp;'Input sheet'!$D$19</f>
        <v/>
      </c>
      <c r="B167" t="s">
        <v>343</v>
      </c>
      <c r="D167">
        <f>_xlfn.XLOOKUP(B167,'Input sheet'!C:C,'Input sheet'!D:D,"Manual")</f>
        <v>0</v>
      </c>
      <c r="E167" t="str">
        <f>_xlfn.XLOOKUP($B167,'Input sheet'!$C:$C,'Input sheet'!E:E,"Manual")</f>
        <v>number of people</v>
      </c>
    </row>
    <row r="168" spans="1:7">
      <c r="A168" t="str">
        <f>'Input sheet'!$D$18&amp;'Input sheet'!$D$19</f>
        <v/>
      </c>
      <c r="B168" t="s">
        <v>345</v>
      </c>
      <c r="D168">
        <f>_xlfn.XLOOKUP(B168,'Input sheet'!C:C,'Input sheet'!D:D,"Manual")</f>
        <v>0</v>
      </c>
      <c r="E168" t="str">
        <f>_xlfn.XLOOKUP($B168,'Input sheet'!$C:$C,'Input sheet'!E:E,"Manual")</f>
        <v>km</v>
      </c>
    </row>
    <row r="169" spans="1:7">
      <c r="A169" t="str">
        <f>'Input sheet'!$D$18&amp;'Input sheet'!$D$19</f>
        <v/>
      </c>
      <c r="B169" t="s">
        <v>347</v>
      </c>
      <c r="D169">
        <f>_xlfn.XLOOKUP(B169,'Input sheet'!C:C,'Input sheet'!D:D,"Manual")</f>
        <v>0</v>
      </c>
      <c r="E169" t="str">
        <f>_xlfn.XLOOKUP($B169,'Input sheet'!$C:$C,'Input sheet'!E:E,"Manual")</f>
        <v>%</v>
      </c>
    </row>
    <row r="170" spans="1:7">
      <c r="A170" t="str">
        <f>'Input sheet'!$D$18&amp;'Input sheet'!$D$19</f>
        <v/>
      </c>
      <c r="B170" t="s">
        <v>349</v>
      </c>
      <c r="D170">
        <f>_xlfn.XLOOKUP(B170,'Input sheet'!C:C,'Input sheet'!D:D,"Manual")</f>
        <v>0</v>
      </c>
      <c r="E170" t="str">
        <f>_xlfn.XLOOKUP($B170,'Input sheet'!$C:$C,'Input sheet'!E:E,"Manual")</f>
        <v>number of people</v>
      </c>
    </row>
    <row r="171" spans="1:7">
      <c r="A171" t="str">
        <f>'Input sheet'!$D$18&amp;'Input sheet'!$D$19</f>
        <v/>
      </c>
      <c r="B171" t="s">
        <v>351</v>
      </c>
      <c r="D171">
        <f>_xlfn.XLOOKUP(B171,'Input sheet'!C:C,'Input sheet'!D:D,"Manual")</f>
        <v>0</v>
      </c>
      <c r="E171" t="str">
        <f>_xlfn.XLOOKUP($B171,'Input sheet'!$C:$C,'Input sheet'!E:E,"Manual")</f>
        <v>km</v>
      </c>
    </row>
    <row r="172" spans="1:7">
      <c r="A172" t="str">
        <f>'Input sheet'!$D$18&amp;'Input sheet'!$D$19</f>
        <v/>
      </c>
      <c r="B172" t="s">
        <v>353</v>
      </c>
      <c r="D172">
        <f>_xlfn.XLOOKUP(B172,'Input sheet'!C:C,'Input sheet'!D:D,"Manual")</f>
        <v>0</v>
      </c>
      <c r="E172" t="str">
        <f>_xlfn.XLOOKUP($B172,'Input sheet'!$C:$C,'Input sheet'!E:E,"Manual")</f>
        <v>%</v>
      </c>
    </row>
    <row r="173" spans="1:7">
      <c r="A173" t="str">
        <f>'Input sheet'!$D$18&amp;'Input sheet'!$D$19</f>
        <v/>
      </c>
      <c r="B173" t="s">
        <v>973</v>
      </c>
      <c r="C173" t="s">
        <v>356</v>
      </c>
      <c r="D173" s="813">
        <f>'Input sheet'!D255</f>
        <v>0</v>
      </c>
      <c r="E173" s="813" t="str">
        <f>_xlfn.XLOOKUP($B173,'Input sheet'!$C:$C,'Input sheet'!E:E,_xlfn.XLOOKUP(C173,'Input sheet'!C:C,'Input sheet'!E:E,"check",,-1))</f>
        <v>kWh</v>
      </c>
      <c r="G173" s="813" t="s">
        <v>1600</v>
      </c>
    </row>
    <row r="174" spans="1:7">
      <c r="A174" t="str">
        <f>'Input sheet'!$D$18&amp;'Input sheet'!$D$19</f>
        <v/>
      </c>
      <c r="B174" t="s">
        <v>974</v>
      </c>
      <c r="C174" t="s">
        <v>358</v>
      </c>
      <c r="D174" s="813">
        <f>'Input sheet'!D256</f>
        <v>0</v>
      </c>
      <c r="E174" s="813" t="str">
        <f>_xlfn.XLOOKUP($B174,'Input sheet'!$C:$C,'Input sheet'!E:E,_xlfn.XLOOKUP(C174,'Input sheet'!C:C,'Input sheet'!E:E,"check",,-1))</f>
        <v>kWh</v>
      </c>
      <c r="G174" s="813" t="s">
        <v>1600</v>
      </c>
    </row>
    <row r="175" spans="1:7">
      <c r="A175" t="str">
        <f>'Input sheet'!$D$18&amp;'Input sheet'!$D$19</f>
        <v/>
      </c>
      <c r="B175" t="s">
        <v>975</v>
      </c>
      <c r="C175" t="s">
        <v>360</v>
      </c>
      <c r="D175" s="813">
        <f>'Input sheet'!D257</f>
        <v>0</v>
      </c>
      <c r="E175" s="813" t="str">
        <f>_xlfn.XLOOKUP($B175,'Input sheet'!$C:$C,'Input sheet'!E:E,_xlfn.XLOOKUP(C175,'Input sheet'!C:C,'Input sheet'!E:E,"check",,-1))</f>
        <v>litres</v>
      </c>
      <c r="G175" s="813" t="s">
        <v>1600</v>
      </c>
    </row>
    <row r="176" spans="1:7">
      <c r="A176" t="str">
        <f>'Input sheet'!$D$18&amp;'Input sheet'!$D$19</f>
        <v/>
      </c>
      <c r="B176" t="s">
        <v>976</v>
      </c>
      <c r="C176" t="s">
        <v>362</v>
      </c>
      <c r="D176" s="813">
        <f>'Input sheet'!D258</f>
        <v>0</v>
      </c>
      <c r="E176" s="813" t="str">
        <f>_xlfn.XLOOKUP($B176,'Input sheet'!$C:$C,'Input sheet'!E:E,_xlfn.XLOOKUP(C176,'Input sheet'!C:C,'Input sheet'!E:E,"check",,-1))</f>
        <v>litres</v>
      </c>
      <c r="G176" s="813" t="s">
        <v>1600</v>
      </c>
    </row>
    <row r="177" spans="1:7">
      <c r="A177" t="str">
        <f>'Input sheet'!$D$18&amp;'Input sheet'!$D$19</f>
        <v/>
      </c>
      <c r="B177" t="s">
        <v>977</v>
      </c>
      <c r="C177" t="s">
        <v>364</v>
      </c>
      <c r="D177" s="813">
        <f>'Input sheet'!D259</f>
        <v>0</v>
      </c>
      <c r="E177" s="813" t="str">
        <f>_xlfn.XLOOKUP($B177,'Input sheet'!$C:$C,'Input sheet'!E:E,_xlfn.XLOOKUP(C177,'Input sheet'!C:C,'Input sheet'!E:E,"check",,-1))</f>
        <v>litres</v>
      </c>
      <c r="G177" s="813" t="s">
        <v>1600</v>
      </c>
    </row>
    <row r="178" spans="1:7">
      <c r="A178" t="str">
        <f>'Input sheet'!$D$18&amp;'Input sheet'!$D$19</f>
        <v/>
      </c>
      <c r="B178" t="s">
        <v>978</v>
      </c>
      <c r="C178" t="s">
        <v>366</v>
      </c>
      <c r="D178" s="813">
        <f>'Input sheet'!D260</f>
        <v>0</v>
      </c>
      <c r="E178" s="813" t="str">
        <f>_xlfn.XLOOKUP($B178,'Input sheet'!$C:$C,'Input sheet'!E:E,_xlfn.XLOOKUP(C178,'Input sheet'!C:C,'Input sheet'!E:E,"check",,-1))</f>
        <v>kg</v>
      </c>
      <c r="G178" s="813" t="s">
        <v>1600</v>
      </c>
    </row>
    <row r="179" spans="1:7">
      <c r="A179" t="str">
        <f>'Input sheet'!$D$18&amp;'Input sheet'!$D$19</f>
        <v/>
      </c>
      <c r="B179" t="s">
        <v>979</v>
      </c>
      <c r="C179" t="s">
        <v>368</v>
      </c>
      <c r="D179" s="813">
        <f>'Input sheet'!D261</f>
        <v>0</v>
      </c>
      <c r="E179" s="813" t="str">
        <f>_xlfn.XLOOKUP($B179,'Input sheet'!$C:$C,'Input sheet'!E:E,_xlfn.XLOOKUP(C179,'Input sheet'!C:C,'Input sheet'!E:E,"check",,-1))</f>
        <v>kg</v>
      </c>
      <c r="G179" s="813" t="s">
        <v>1600</v>
      </c>
    </row>
    <row r="180" spans="1:7">
      <c r="A180" t="str">
        <f>'Input sheet'!$D$18&amp;'Input sheet'!$D$19</f>
        <v/>
      </c>
      <c r="B180" s="704" t="s">
        <v>980</v>
      </c>
      <c r="C180" t="s">
        <v>370</v>
      </c>
      <c r="D180" s="813">
        <f>'Input sheet'!D262</f>
        <v>0</v>
      </c>
      <c r="E180" s="813" t="str">
        <f>_xlfn.XLOOKUP($B180,'Input sheet'!$C:$C,'Input sheet'!E:E,_xlfn.XLOOKUP(C180,'Input sheet'!C:C,'Input sheet'!E:E,"check",,-1))</f>
        <v>kg</v>
      </c>
      <c r="G180" s="813" t="s">
        <v>1600</v>
      </c>
    </row>
    <row r="181" spans="1:7">
      <c r="A181" t="str">
        <f>'Input sheet'!$D$18&amp;'Input sheet'!$D$19</f>
        <v/>
      </c>
      <c r="B181" s="704" t="s">
        <v>981</v>
      </c>
      <c r="C181" t="s">
        <v>372</v>
      </c>
      <c r="D181" s="813">
        <f>'Input sheet'!D263</f>
        <v>0</v>
      </c>
      <c r="E181" s="813" t="str">
        <f>_xlfn.XLOOKUP($B181,'Input sheet'!$C:$C,'Input sheet'!E:E,_xlfn.XLOOKUP(C181,'Input sheet'!C:C,'Input sheet'!E:E,"check",,-1))</f>
        <v>kg</v>
      </c>
      <c r="G181" s="813" t="s">
        <v>1600</v>
      </c>
    </row>
    <row r="182" spans="1:7">
      <c r="A182" t="str">
        <f>'Input sheet'!$D$18&amp;'Input sheet'!$D$19</f>
        <v/>
      </c>
      <c r="B182" t="s">
        <v>982</v>
      </c>
      <c r="C182" t="s">
        <v>356</v>
      </c>
      <c r="D182" s="813">
        <f>'Input sheet'!D265</f>
        <v>0</v>
      </c>
      <c r="E182" s="813" t="str">
        <f>'Input sheet'!E265</f>
        <v>kWh</v>
      </c>
      <c r="G182" s="813" t="s">
        <v>1600</v>
      </c>
    </row>
    <row r="183" spans="1:7">
      <c r="A183" t="str">
        <f>'Input sheet'!$D$18&amp;'Input sheet'!$D$19</f>
        <v/>
      </c>
      <c r="B183" t="s">
        <v>983</v>
      </c>
      <c r="C183" t="s">
        <v>358</v>
      </c>
      <c r="D183" s="813">
        <f>'Input sheet'!D266</f>
        <v>0</v>
      </c>
      <c r="E183" s="813" t="str">
        <f>'Input sheet'!E266</f>
        <v>kWh</v>
      </c>
      <c r="G183" s="813" t="s">
        <v>1600</v>
      </c>
    </row>
    <row r="184" spans="1:7">
      <c r="A184" t="str">
        <f>'Input sheet'!$D$18&amp;'Input sheet'!$D$19</f>
        <v/>
      </c>
      <c r="B184" t="s">
        <v>984</v>
      </c>
      <c r="C184" t="s">
        <v>360</v>
      </c>
      <c r="D184" s="813">
        <f>'Input sheet'!D267</f>
        <v>0</v>
      </c>
      <c r="E184" s="813" t="str">
        <f>'Input sheet'!E267</f>
        <v>litres</v>
      </c>
      <c r="G184" s="813" t="s">
        <v>1600</v>
      </c>
    </row>
    <row r="185" spans="1:7">
      <c r="A185" t="str">
        <f>'Input sheet'!$D$18&amp;'Input sheet'!$D$19</f>
        <v/>
      </c>
      <c r="B185" t="s">
        <v>985</v>
      </c>
      <c r="C185" t="s">
        <v>362</v>
      </c>
      <c r="D185" s="813">
        <f>'Input sheet'!D268</f>
        <v>0</v>
      </c>
      <c r="E185" s="813" t="str">
        <f>'Input sheet'!E268</f>
        <v>litres</v>
      </c>
      <c r="G185" s="813" t="s">
        <v>1600</v>
      </c>
    </row>
    <row r="186" spans="1:7">
      <c r="A186" t="str">
        <f>'Input sheet'!$D$18&amp;'Input sheet'!$D$19</f>
        <v/>
      </c>
      <c r="B186" t="s">
        <v>986</v>
      </c>
      <c r="C186" t="s">
        <v>364</v>
      </c>
      <c r="D186" s="813">
        <f>'Input sheet'!D269</f>
        <v>0</v>
      </c>
      <c r="E186" s="813" t="str">
        <f>'Input sheet'!E269</f>
        <v>litres</v>
      </c>
      <c r="G186" s="813" t="s">
        <v>1600</v>
      </c>
    </row>
    <row r="187" spans="1:7">
      <c r="A187" t="str">
        <f>'Input sheet'!$D$18&amp;'Input sheet'!$D$19</f>
        <v/>
      </c>
      <c r="B187" t="s">
        <v>987</v>
      </c>
      <c r="C187" t="s">
        <v>366</v>
      </c>
      <c r="D187" s="813">
        <f>'Input sheet'!D270</f>
        <v>0</v>
      </c>
      <c r="E187" s="813" t="str">
        <f>'Input sheet'!E270</f>
        <v>kg</v>
      </c>
      <c r="G187" s="813" t="s">
        <v>1600</v>
      </c>
    </row>
    <row r="188" spans="1:7">
      <c r="A188" t="str">
        <f>'Input sheet'!$D$18&amp;'Input sheet'!$D$19</f>
        <v/>
      </c>
      <c r="B188" t="s">
        <v>988</v>
      </c>
      <c r="C188" t="s">
        <v>368</v>
      </c>
      <c r="D188" s="813">
        <f>'Input sheet'!D271</f>
        <v>0</v>
      </c>
      <c r="E188" s="813" t="str">
        <f>'Input sheet'!E271</f>
        <v>kg</v>
      </c>
      <c r="G188" s="813" t="s">
        <v>1600</v>
      </c>
    </row>
    <row r="189" spans="1:7">
      <c r="A189" t="str">
        <f>'Input sheet'!$D$18&amp;'Input sheet'!$D$19</f>
        <v/>
      </c>
      <c r="B189" s="704" t="s">
        <v>989</v>
      </c>
      <c r="C189" t="s">
        <v>370</v>
      </c>
      <c r="D189" s="813">
        <f>'Input sheet'!D272</f>
        <v>0</v>
      </c>
      <c r="E189" s="813" t="str">
        <f>'Input sheet'!E272</f>
        <v>kg</v>
      </c>
      <c r="G189" s="813" t="s">
        <v>1600</v>
      </c>
    </row>
    <row r="190" spans="1:7">
      <c r="A190" t="str">
        <f>'Input sheet'!$D$18&amp;'Input sheet'!$D$19</f>
        <v/>
      </c>
      <c r="B190" s="704" t="s">
        <v>990</v>
      </c>
      <c r="C190" t="s">
        <v>372</v>
      </c>
      <c r="D190" s="813">
        <f>'Input sheet'!D273</f>
        <v>0</v>
      </c>
      <c r="E190" s="813" t="str">
        <f>'Input sheet'!E273</f>
        <v>kg</v>
      </c>
      <c r="G190" s="813" t="s">
        <v>1600</v>
      </c>
    </row>
    <row r="191" spans="1:7">
      <c r="A191" t="str">
        <f>'Input sheet'!$D$18&amp;'Input sheet'!$D$19</f>
        <v/>
      </c>
      <c r="B191" t="s">
        <v>385</v>
      </c>
      <c r="D191">
        <f>_xlfn.XLOOKUP(B191,'Input sheet'!C:C,'Input sheet'!D:D,"Manual")</f>
        <v>0</v>
      </c>
      <c r="E191" t="str">
        <f>_xlfn.XLOOKUP($B191,'Input sheet'!$C:$C,'Input sheet'!E:E,"Manual")</f>
        <v>tonnes CO2e</v>
      </c>
    </row>
    <row r="192" spans="1:7">
      <c r="A192" t="str">
        <f>'Input sheet'!$D$18&amp;'Input sheet'!$D$19</f>
        <v/>
      </c>
      <c r="B192" t="s">
        <v>388</v>
      </c>
      <c r="D192">
        <f>_xlfn.XLOOKUP(B192,'Input sheet'!C:C,'Input sheet'!D:D,"Manual")</f>
        <v>0</v>
      </c>
      <c r="E192" t="str">
        <f>_xlfn.XLOOKUP($B192,'Input sheet'!$C:$C,'Input sheet'!E:E,"Manual")</f>
        <v>tonnes CO2e</v>
      </c>
    </row>
    <row r="193" spans="1:5">
      <c r="A193" t="str">
        <f>'Input sheet'!$D$18&amp;'Input sheet'!$D$19</f>
        <v/>
      </c>
      <c r="B193" t="s">
        <v>390</v>
      </c>
      <c r="D193">
        <f>_xlfn.XLOOKUP(B193,'Input sheet'!C:C,'Input sheet'!D:D,"Manual")</f>
        <v>0</v>
      </c>
      <c r="E193" t="str">
        <f>_xlfn.XLOOKUP($B193,'Input sheet'!$C:$C,'Input sheet'!E:E,"Manual")</f>
        <v>tonnes CO2e</v>
      </c>
    </row>
    <row r="194" spans="1:5">
      <c r="A194" t="str">
        <f>'Input sheet'!$D$18&amp;'Input sheet'!$D$19</f>
        <v/>
      </c>
      <c r="B194" t="s">
        <v>393</v>
      </c>
      <c r="D194">
        <f>_xlfn.XLOOKUP(B194,'Input sheet'!C:C,'Input sheet'!D:D,"Manual")</f>
        <v>0</v>
      </c>
      <c r="E194" t="str">
        <f>_xlfn.XLOOKUP($B194,'Input sheet'!$C:$C,'Input sheet'!E:E,"Manual")</f>
        <v>litres</v>
      </c>
    </row>
    <row r="195" spans="1:5">
      <c r="A195" t="str">
        <f>'Input sheet'!$D$18&amp;'Input sheet'!$D$19</f>
        <v/>
      </c>
      <c r="B195" t="s">
        <v>395</v>
      </c>
      <c r="D195">
        <f>_xlfn.XLOOKUP(B195,'Input sheet'!C:C,'Input sheet'!D:D,"Manual")</f>
        <v>0</v>
      </c>
      <c r="E195" t="str">
        <f>_xlfn.XLOOKUP($B195,'Input sheet'!$C:$C,'Input sheet'!E:E,"Manual")</f>
        <v>litres</v>
      </c>
    </row>
    <row r="196" spans="1:5">
      <c r="A196" t="str">
        <f>'Input sheet'!$D$18&amp;'Input sheet'!$D$19</f>
        <v/>
      </c>
      <c r="B196" t="s">
        <v>397</v>
      </c>
      <c r="D196">
        <f>_xlfn.XLOOKUP(B196,'Input sheet'!C:C,'Input sheet'!D:D,"Manual")</f>
        <v>0</v>
      </c>
      <c r="E196" t="str">
        <f>_xlfn.XLOOKUP($B196,'Input sheet'!$C:$C,'Input sheet'!E:E,"Manual")</f>
        <v>litres</v>
      </c>
    </row>
    <row r="197" spans="1:5">
      <c r="A197" t="str">
        <f>'Input sheet'!$D$18&amp;'Input sheet'!$D$19</f>
        <v/>
      </c>
      <c r="B197" t="s">
        <v>399</v>
      </c>
      <c r="D197">
        <f>_xlfn.XLOOKUP(B197,'Input sheet'!C:C,'Input sheet'!D:D,"Manual")</f>
        <v>0</v>
      </c>
      <c r="E197" t="str">
        <f>_xlfn.XLOOKUP($B197,'Input sheet'!$C:$C,'Input sheet'!E:E,"Manual")</f>
        <v>litres</v>
      </c>
    </row>
    <row r="198" spans="1:5">
      <c r="A198" t="str">
        <f>'Input sheet'!$D$18&amp;'Input sheet'!$D$19</f>
        <v/>
      </c>
      <c r="B198" t="s">
        <v>585</v>
      </c>
      <c r="D198">
        <f>_xlfn.XLOOKUP(B198,'Input sheet'!C:C,'Input sheet'!D:D,"Manual")</f>
        <v>0</v>
      </c>
      <c r="E198" t="str">
        <f>_xlfn.XLOOKUP($B198,'Input sheet'!$C:$C,'Input sheet'!E:E,"Manual")</f>
        <v>litres</v>
      </c>
    </row>
    <row r="199" spans="1:5">
      <c r="A199" t="str">
        <f>'Input sheet'!$D$18&amp;'Input sheet'!$D$19</f>
        <v/>
      </c>
      <c r="B199" t="s">
        <v>972</v>
      </c>
      <c r="D199" t="str">
        <f>_xlfn.XLOOKUP(B199,'Input sheet'!C:C,'Input sheet'!D:D,"Manual")</f>
        <v>Manual</v>
      </c>
      <c r="E199" t="str">
        <f>_xlfn.XLOOKUP($B199,'Input sheet'!$C:$C,'Input sheet'!E:E,"Manual")</f>
        <v>Manual</v>
      </c>
    </row>
    <row r="200" spans="1:5">
      <c r="A200" t="str">
        <f>'Input sheet'!$D$18&amp;'Input sheet'!$D$19</f>
        <v/>
      </c>
      <c r="B200" t="s">
        <v>409</v>
      </c>
      <c r="D200">
        <f>_xlfn.XLOOKUP(B200,'Input sheet'!C:C,'Input sheet'!D:D,"Manual")</f>
        <v>0</v>
      </c>
      <c r="E200" t="str">
        <f>_xlfn.XLOOKUP($B200,'Input sheet'!$C:$C,'Input sheet'!E:E,"Manual")</f>
        <v>%</v>
      </c>
    </row>
    <row r="201" spans="1:5">
      <c r="A201" t="str">
        <f>'Input sheet'!$D$18&amp;'Input sheet'!$D$19</f>
        <v/>
      </c>
      <c r="B201" t="s">
        <v>411</v>
      </c>
      <c r="D201">
        <f>_xlfn.XLOOKUP(B201,'Input sheet'!C:C,'Input sheet'!D:D,"Manual")</f>
        <v>0</v>
      </c>
      <c r="E201" t="str">
        <f>_xlfn.XLOOKUP($B201,'Input sheet'!$C:$C,'Input sheet'!E:E,"Manual")</f>
        <v>%</v>
      </c>
    </row>
    <row r="202" spans="1:5">
      <c r="A202" t="str">
        <f>'Input sheet'!$D$18&amp;'Input sheet'!$D$19</f>
        <v/>
      </c>
      <c r="B202" t="s">
        <v>413</v>
      </c>
      <c r="D202">
        <f>_xlfn.XLOOKUP(B202,'Input sheet'!C:C,'Input sheet'!D:D,"Manual")</f>
        <v>0</v>
      </c>
      <c r="E202" t="str">
        <f>_xlfn.XLOOKUP($B202,'Input sheet'!$C:$C,'Input sheet'!E:E,"Manual")</f>
        <v>%</v>
      </c>
    </row>
    <row r="203" spans="1:5">
      <c r="A203" t="str">
        <f>'Input sheet'!$D$18&amp;'Input sheet'!$D$19</f>
        <v/>
      </c>
      <c r="B203" t="s">
        <v>416</v>
      </c>
      <c r="D203">
        <f>_xlfn.XLOOKUP(B203,'Input sheet'!C:C,'Input sheet'!D:D,"Manual")</f>
        <v>0</v>
      </c>
      <c r="E203" t="str">
        <f>_xlfn.XLOOKUP($B203,'Input sheet'!$C:$C,'Input sheet'!E:E,"Manual")</f>
        <v>kg</v>
      </c>
    </row>
    <row r="204" spans="1:5">
      <c r="A204" t="str">
        <f>'Input sheet'!$D$18&amp;'Input sheet'!$D$19</f>
        <v/>
      </c>
      <c r="B204" t="s">
        <v>418</v>
      </c>
      <c r="D204">
        <f>_xlfn.XLOOKUP(B204,'Input sheet'!C:C,'Input sheet'!D:D,"Manual")</f>
        <v>0</v>
      </c>
      <c r="E204" t="str">
        <f>_xlfn.XLOOKUP($B204,'Input sheet'!$C:$C,'Input sheet'!E:E,"Manual")</f>
        <v>kg</v>
      </c>
    </row>
    <row r="205" spans="1:5">
      <c r="A205" t="str">
        <f>'Input sheet'!$D$18&amp;'Input sheet'!$D$19</f>
        <v/>
      </c>
      <c r="B205" t="s">
        <v>420</v>
      </c>
      <c r="D205">
        <f>_xlfn.XLOOKUP(B205,'Input sheet'!C:C,'Input sheet'!D:D,"Manual")</f>
        <v>0</v>
      </c>
      <c r="E205" t="str">
        <f>_xlfn.XLOOKUP($B205,'Input sheet'!$C:$C,'Input sheet'!E:E,"Manual")</f>
        <v>kg</v>
      </c>
    </row>
    <row r="206" spans="1:5">
      <c r="A206" t="str">
        <f>'Input sheet'!$D$18&amp;'Input sheet'!$D$19</f>
        <v/>
      </c>
      <c r="B206" t="s">
        <v>422</v>
      </c>
      <c r="D206">
        <f>_xlfn.XLOOKUP(B206,'Input sheet'!C:C,'Input sheet'!D:D,"Manual")</f>
        <v>0</v>
      </c>
      <c r="E206" t="str">
        <f>_xlfn.XLOOKUP($B206,'Input sheet'!$C:$C,'Input sheet'!E:E,"Manual")</f>
        <v>kg</v>
      </c>
    </row>
    <row r="207" spans="1:5">
      <c r="A207" t="str">
        <f>'Input sheet'!$D$18&amp;'Input sheet'!$D$19</f>
        <v/>
      </c>
      <c r="B207" t="s">
        <v>424</v>
      </c>
      <c r="D207">
        <f>_xlfn.XLOOKUP(B207,'Input sheet'!C:C,'Input sheet'!D:D,"Manual")</f>
        <v>0</v>
      </c>
      <c r="E207" t="str">
        <f>_xlfn.XLOOKUP($B207,'Input sheet'!$C:$C,'Input sheet'!E:E,"Manual")</f>
        <v>kg</v>
      </c>
    </row>
    <row r="208" spans="1:5">
      <c r="A208" t="str">
        <f>'Input sheet'!$D$18&amp;'Input sheet'!$D$19</f>
        <v/>
      </c>
      <c r="B208" s="704" t="s">
        <v>426</v>
      </c>
      <c r="D208">
        <f>_xlfn.XLOOKUP(B208,'Input sheet'!C:C,'Input sheet'!D:D,"Manual")</f>
        <v>0</v>
      </c>
      <c r="E208" t="str">
        <f>_xlfn.XLOOKUP($B208,'Input sheet'!$C:$C,'Input sheet'!E:E,"Manual")</f>
        <v>kg</v>
      </c>
    </row>
    <row r="209" spans="1:5">
      <c r="A209" t="str">
        <f>'Input sheet'!$D$18&amp;'Input sheet'!$D$19</f>
        <v/>
      </c>
      <c r="B209" s="704" t="s">
        <v>428</v>
      </c>
      <c r="D209">
        <f>_xlfn.XLOOKUP(B209,'Input sheet'!C:C,'Input sheet'!D:D,"Manual")</f>
        <v>0</v>
      </c>
      <c r="E209" t="str">
        <f>_xlfn.XLOOKUP($B209,'Input sheet'!$C:$C,'Input sheet'!E:E,"Manual")</f>
        <v>kg</v>
      </c>
    </row>
    <row r="210" spans="1:5">
      <c r="A210" t="str">
        <f>'Input sheet'!$D$18&amp;'Input sheet'!$D$19</f>
        <v/>
      </c>
      <c r="B210" t="s">
        <v>430</v>
      </c>
      <c r="D210">
        <f>_xlfn.XLOOKUP(B210,'Input sheet'!C:C,'Input sheet'!D:D,"Manual")</f>
        <v>0</v>
      </c>
      <c r="E210" t="str">
        <f>_xlfn.XLOOKUP($B210,'Input sheet'!$C:$C,'Input sheet'!E:E,"Manual")</f>
        <v>kg</v>
      </c>
    </row>
    <row r="211" spans="1:5">
      <c r="A211" t="str">
        <f>'Input sheet'!$D$18&amp;'Input sheet'!$D$19</f>
        <v/>
      </c>
      <c r="B211" t="s">
        <v>433</v>
      </c>
      <c r="D211">
        <f>_xlfn.XLOOKUP(B211,'Input sheet'!C:C,'Input sheet'!D:D,"Manual")</f>
        <v>0</v>
      </c>
      <c r="E211" t="str">
        <f>_xlfn.XLOOKUP($B211,'Input sheet'!$C:$C,'Input sheet'!E:E,"Manual")</f>
        <v>meals</v>
      </c>
    </row>
    <row r="212" spans="1:5">
      <c r="A212" t="str">
        <f>'Input sheet'!$D$18&amp;'Input sheet'!$D$19</f>
        <v/>
      </c>
      <c r="B212" t="s">
        <v>436</v>
      </c>
      <c r="D212">
        <f>_xlfn.XLOOKUP(B212,'Input sheet'!C:C,'Input sheet'!D:D,"Manual")</f>
        <v>0</v>
      </c>
      <c r="E212" t="str">
        <f>_xlfn.XLOOKUP($B212,'Input sheet'!$C:$C,'Input sheet'!E:E,"Manual")</f>
        <v>meals</v>
      </c>
    </row>
    <row r="213" spans="1:5">
      <c r="A213" t="str">
        <f>'Input sheet'!$D$18&amp;'Input sheet'!$D$19</f>
        <v/>
      </c>
      <c r="B213" t="s">
        <v>438</v>
      </c>
      <c r="D213">
        <f>_xlfn.XLOOKUP(B213,'Input sheet'!C:C,'Input sheet'!D:D,"Manual")</f>
        <v>0</v>
      </c>
      <c r="E213" t="str">
        <f>_xlfn.XLOOKUP($B213,'Input sheet'!$C:$C,'Input sheet'!E:E,"Manual")</f>
        <v>meals</v>
      </c>
    </row>
    <row r="214" spans="1:5">
      <c r="A214" t="str">
        <f>'Input sheet'!$D$18&amp;'Input sheet'!$D$19</f>
        <v/>
      </c>
      <c r="B214" t="s">
        <v>440</v>
      </c>
      <c r="D214">
        <f>_xlfn.XLOOKUP(B214,'Input sheet'!C:C,'Input sheet'!D:D,"Manual")</f>
        <v>0</v>
      </c>
      <c r="E214" t="str">
        <f>_xlfn.XLOOKUP($B214,'Input sheet'!$C:$C,'Input sheet'!E:E,"Manual")</f>
        <v>meals</v>
      </c>
    </row>
    <row r="215" spans="1:5">
      <c r="A215" t="str">
        <f>'Input sheet'!$D$18&amp;'Input sheet'!$D$19</f>
        <v/>
      </c>
      <c r="B215" t="s">
        <v>442</v>
      </c>
      <c r="D215">
        <f>_xlfn.XLOOKUP(B215,'Input sheet'!C:C,'Input sheet'!D:D,"Manual")</f>
        <v>0</v>
      </c>
      <c r="E215" t="str">
        <f>_xlfn.XLOOKUP($B215,'Input sheet'!$C:$C,'Input sheet'!E:E,"Manual")</f>
        <v>meals</v>
      </c>
    </row>
    <row r="216" spans="1:5">
      <c r="A216" t="str">
        <f>'Input sheet'!$D$18&amp;'Input sheet'!$D$19</f>
        <v/>
      </c>
      <c r="B216" t="s">
        <v>447</v>
      </c>
      <c r="D216">
        <f>_xlfn.XLOOKUP(B216,'Input sheet'!C:C,'Input sheet'!D:D,"Manual")</f>
        <v>0</v>
      </c>
      <c r="E216" t="str">
        <f>_xlfn.XLOOKUP($B216,'Input sheet'!$C:$C,'Input sheet'!E:E,"Manual")</f>
        <v>%</v>
      </c>
    </row>
    <row r="217" spans="1:5">
      <c r="A217" t="str">
        <f>'Input sheet'!$D$18&amp;'Input sheet'!$D$19</f>
        <v/>
      </c>
      <c r="B217" t="s">
        <v>449</v>
      </c>
      <c r="D217">
        <f>_xlfn.XLOOKUP(B217,'Input sheet'!C:C,'Input sheet'!D:D,"Manual")</f>
        <v>0</v>
      </c>
      <c r="E217" t="str">
        <f>_xlfn.XLOOKUP($B217,'Input sheet'!$C:$C,'Input sheet'!E:E,"Manual")</f>
        <v>%</v>
      </c>
    </row>
    <row r="218" spans="1:5">
      <c r="A218" t="str">
        <f>'Input sheet'!$D$18&amp;'Input sheet'!$D$19</f>
        <v/>
      </c>
      <c r="B218" t="s">
        <v>451</v>
      </c>
      <c r="D218">
        <f>_xlfn.XLOOKUP(B218,'Input sheet'!C:C,'Input sheet'!D:D,"Manual")</f>
        <v>0</v>
      </c>
      <c r="E218" t="str">
        <f>_xlfn.XLOOKUP($B218,'Input sheet'!$C:$C,'Input sheet'!E:E,"Manual")</f>
        <v>%</v>
      </c>
    </row>
    <row r="219" spans="1:5">
      <c r="A219" t="str">
        <f>'Input sheet'!$D$18&amp;'Input sheet'!$D$19</f>
        <v/>
      </c>
      <c r="B219" t="s">
        <v>455</v>
      </c>
      <c r="D219">
        <f>_xlfn.XLOOKUP(B219,'Input sheet'!C:C,'Input sheet'!D:D,"Manual")</f>
        <v>0</v>
      </c>
      <c r="E219" t="str">
        <f>_xlfn.XLOOKUP($B219,'Input sheet'!$C:$C,'Input sheet'!E:E,"Manual")</f>
        <v>litres</v>
      </c>
    </row>
    <row r="220" spans="1:5">
      <c r="A220" t="str">
        <f>'Input sheet'!$D$18&amp;'Input sheet'!$D$19</f>
        <v/>
      </c>
      <c r="B220" t="s">
        <v>457</v>
      </c>
      <c r="D220">
        <f>_xlfn.XLOOKUP(B220,'Input sheet'!C:C,'Input sheet'!D:D,"Manual")</f>
        <v>0</v>
      </c>
      <c r="E220" t="str">
        <f>_xlfn.XLOOKUP($B220,'Input sheet'!$C:$C,'Input sheet'!E:E,"Manual")</f>
        <v>litres</v>
      </c>
    </row>
    <row r="221" spans="1:5">
      <c r="A221" t="str">
        <f>'Input sheet'!$D$18&amp;'Input sheet'!$D$19</f>
        <v/>
      </c>
      <c r="B221" t="s">
        <v>459</v>
      </c>
      <c r="D221">
        <f>_xlfn.XLOOKUP(B221,'Input sheet'!C:C,'Input sheet'!D:D,"Manual")</f>
        <v>0</v>
      </c>
      <c r="E221" t="str">
        <f>_xlfn.XLOOKUP($B221,'Input sheet'!$C:$C,'Input sheet'!E:E,"Manual")</f>
        <v>litres</v>
      </c>
    </row>
    <row r="222" spans="1:5">
      <c r="A222" t="str">
        <f>'Input sheet'!$D$18&amp;'Input sheet'!$D$19</f>
        <v/>
      </c>
      <c r="B222" t="s">
        <v>461</v>
      </c>
      <c r="D222">
        <f>_xlfn.XLOOKUP(B222,'Input sheet'!C:C,'Input sheet'!D:D,"Manual")</f>
        <v>0</v>
      </c>
      <c r="E222" t="str">
        <f>_xlfn.XLOOKUP($B222,'Input sheet'!$C:$C,'Input sheet'!E:E,"Manual")</f>
        <v>litres</v>
      </c>
    </row>
    <row r="223" spans="1:5">
      <c r="A223" t="str">
        <f>'Input sheet'!$D$18&amp;'Input sheet'!$D$19</f>
        <v/>
      </c>
      <c r="B223" t="s">
        <v>463</v>
      </c>
      <c r="D223">
        <f>_xlfn.XLOOKUP(B223,'Input sheet'!C:C,'Input sheet'!D:D,"Manual")</f>
        <v>0</v>
      </c>
      <c r="E223" t="str">
        <f>_xlfn.XLOOKUP($B223,'Input sheet'!$C:$C,'Input sheet'!E:E,"Manual")</f>
        <v>litres</v>
      </c>
    </row>
    <row r="224" spans="1:5">
      <c r="A224" t="str">
        <f>'Input sheet'!$D$18&amp;'Input sheet'!$D$19</f>
        <v/>
      </c>
      <c r="B224" t="s">
        <v>465</v>
      </c>
      <c r="D224">
        <f>_xlfn.XLOOKUP(B224,'Input sheet'!C:C,'Input sheet'!D:D,"Manual")</f>
        <v>0</v>
      </c>
      <c r="E224" t="str">
        <f>_xlfn.XLOOKUP($B224,'Input sheet'!$C:$C,'Input sheet'!E:E,"Manual")</f>
        <v>litres</v>
      </c>
    </row>
    <row r="225" spans="1:5">
      <c r="A225" t="str">
        <f>'Input sheet'!$D$18&amp;'Input sheet'!$D$19</f>
        <v/>
      </c>
      <c r="B225" t="s">
        <v>467</v>
      </c>
      <c r="D225">
        <f>_xlfn.XLOOKUP(B225,'Input sheet'!C:C,'Input sheet'!D:D,"Manual")</f>
        <v>0</v>
      </c>
      <c r="E225" t="str">
        <f>_xlfn.XLOOKUP($B225,'Input sheet'!$C:$C,'Input sheet'!E:E,"Manual")</f>
        <v>litres</v>
      </c>
    </row>
    <row r="226" spans="1:5">
      <c r="A226" t="str">
        <f>'Input sheet'!$D$18&amp;'Input sheet'!$D$19</f>
        <v/>
      </c>
      <c r="B226" t="s">
        <v>469</v>
      </c>
      <c r="D226">
        <f>_xlfn.XLOOKUP(B226,'Input sheet'!C:C,'Input sheet'!D:D,"Manual")</f>
        <v>0</v>
      </c>
      <c r="E226" t="str">
        <f>_xlfn.XLOOKUP($B226,'Input sheet'!$C:$C,'Input sheet'!E:E,"Manual")</f>
        <v>litres</v>
      </c>
    </row>
    <row r="227" spans="1:5">
      <c r="A227" t="str">
        <f>'Input sheet'!$D$18&amp;'Input sheet'!$D$19</f>
        <v/>
      </c>
      <c r="B227" t="s">
        <v>471</v>
      </c>
      <c r="D227">
        <f>_xlfn.XLOOKUP(B227,'Input sheet'!C:C,'Input sheet'!D:D,"Manual")</f>
        <v>0</v>
      </c>
      <c r="E227" t="str">
        <f>_xlfn.XLOOKUP($B227,'Input sheet'!$C:$C,'Input sheet'!E:E,"Manual")</f>
        <v>litres</v>
      </c>
    </row>
    <row r="228" spans="1:5">
      <c r="A228" t="str">
        <f>'Input sheet'!$D$18&amp;'Input sheet'!$D$19</f>
        <v/>
      </c>
      <c r="B228" t="s">
        <v>473</v>
      </c>
      <c r="D228">
        <f>_xlfn.XLOOKUP(B228,'Input sheet'!C:C,'Input sheet'!D:D,"Manual")</f>
        <v>0</v>
      </c>
      <c r="E228" t="str">
        <f>_xlfn.XLOOKUP($B228,'Input sheet'!$C:$C,'Input sheet'!E:E,"Manual")</f>
        <v>litres</v>
      </c>
    </row>
    <row r="229" spans="1:5">
      <c r="A229" t="str">
        <f>'Input sheet'!$D$18&amp;'Input sheet'!$D$19</f>
        <v/>
      </c>
      <c r="B229" t="s">
        <v>475</v>
      </c>
      <c r="D229">
        <f>_xlfn.XLOOKUP(B229,'Input sheet'!C:C,'Input sheet'!D:D,"Manual")</f>
        <v>0</v>
      </c>
      <c r="E229" t="str">
        <f>_xlfn.XLOOKUP($B229,'Input sheet'!$C:$C,'Input sheet'!E:E,"Manual")</f>
        <v>litres</v>
      </c>
    </row>
    <row r="230" spans="1:5">
      <c r="A230" t="str">
        <f>'Input sheet'!$D$18&amp;'Input sheet'!$D$19</f>
        <v/>
      </c>
      <c r="B230" t="s">
        <v>477</v>
      </c>
      <c r="D230">
        <f>_xlfn.XLOOKUP(B230,'Input sheet'!C:C,'Input sheet'!D:D,"Manual")</f>
        <v>0</v>
      </c>
      <c r="E230" t="str">
        <f>_xlfn.XLOOKUP($B230,'Input sheet'!$C:$C,'Input sheet'!E:E,"Manual")</f>
        <v>litres</v>
      </c>
    </row>
    <row r="231" spans="1:5">
      <c r="A231" t="str">
        <f>'Input sheet'!$D$18&amp;'Input sheet'!$D$19</f>
        <v/>
      </c>
      <c r="B231" t="s">
        <v>479</v>
      </c>
      <c r="D231">
        <f>_xlfn.XLOOKUP(B231,'Input sheet'!C:C,'Input sheet'!D:D,"Manual")</f>
        <v>0</v>
      </c>
      <c r="E231" t="str">
        <f>_xlfn.XLOOKUP($B231,'Input sheet'!$C:$C,'Input sheet'!E:E,"Manual")</f>
        <v>litres</v>
      </c>
    </row>
    <row r="232" spans="1:5">
      <c r="A232" t="str">
        <f>'Input sheet'!$D$18&amp;'Input sheet'!$D$19</f>
        <v/>
      </c>
      <c r="B232" t="s">
        <v>481</v>
      </c>
      <c r="D232">
        <f>_xlfn.XLOOKUP(B232,'Input sheet'!C:C,'Input sheet'!D:D,"Manual")</f>
        <v>0</v>
      </c>
      <c r="E232" t="str">
        <f>_xlfn.XLOOKUP($B232,'Input sheet'!$C:$C,'Input sheet'!E:E,"Manual")</f>
        <v>litres</v>
      </c>
    </row>
    <row r="233" spans="1:5">
      <c r="A233" t="str">
        <f>'Input sheet'!$D$18&amp;'Input sheet'!$D$19</f>
        <v/>
      </c>
      <c r="B233" t="s">
        <v>483</v>
      </c>
      <c r="D233">
        <f>_xlfn.XLOOKUP(B233,'Input sheet'!C:C,'Input sheet'!D:D,"Manual")</f>
        <v>0</v>
      </c>
      <c r="E233" t="str">
        <f>_xlfn.XLOOKUP($B233,'Input sheet'!$C:$C,'Input sheet'!E:E,"Manual")</f>
        <v>litres</v>
      </c>
    </row>
    <row r="234" spans="1:5">
      <c r="A234" t="str">
        <f>'Input sheet'!$D$18&amp;'Input sheet'!$D$19</f>
        <v/>
      </c>
      <c r="B234" t="s">
        <v>485</v>
      </c>
      <c r="D234">
        <f>_xlfn.XLOOKUP(B234,'Input sheet'!C:C,'Input sheet'!D:D,"Manual")</f>
        <v>0</v>
      </c>
      <c r="E234" t="str">
        <f>_xlfn.XLOOKUP($B234,'Input sheet'!$C:$C,'Input sheet'!E:E,"Manual")</f>
        <v>litres</v>
      </c>
    </row>
    <row r="235" spans="1:5">
      <c r="A235" t="str">
        <f>'Input sheet'!$D$18&amp;'Input sheet'!$D$19</f>
        <v/>
      </c>
      <c r="B235" t="s">
        <v>487</v>
      </c>
      <c r="D235">
        <f>_xlfn.XLOOKUP(B235,'Input sheet'!C:C,'Input sheet'!D:D,"Manual")</f>
        <v>0</v>
      </c>
      <c r="E235" t="str">
        <f>_xlfn.XLOOKUP($B235,'Input sheet'!$C:$C,'Input sheet'!E:E,"Manual")</f>
        <v>litres</v>
      </c>
    </row>
    <row r="236" spans="1:5">
      <c r="A236" t="str">
        <f>'Input sheet'!$D$18&amp;'Input sheet'!$D$19</f>
        <v/>
      </c>
      <c r="B236" t="s">
        <v>489</v>
      </c>
      <c r="D236">
        <f>_xlfn.XLOOKUP(B236,'Input sheet'!C:C,'Input sheet'!D:D,"Manual")</f>
        <v>0</v>
      </c>
      <c r="E236" t="str">
        <f>_xlfn.XLOOKUP($B236,'Input sheet'!$C:$C,'Input sheet'!E:E,"Manual")</f>
        <v>litres</v>
      </c>
    </row>
    <row r="237" spans="1:5">
      <c r="A237" t="str">
        <f>'Input sheet'!$D$18&amp;'Input sheet'!$D$19</f>
        <v/>
      </c>
      <c r="B237" t="s">
        <v>491</v>
      </c>
      <c r="D237">
        <f>_xlfn.XLOOKUP(B237,'Input sheet'!C:C,'Input sheet'!D:D,"Manual")</f>
        <v>0</v>
      </c>
      <c r="E237" t="str">
        <f>_xlfn.XLOOKUP($B237,'Input sheet'!$C:$C,'Input sheet'!E:E,"Manual")</f>
        <v>litres</v>
      </c>
    </row>
    <row r="238" spans="1:5">
      <c r="A238" t="str">
        <f>'Input sheet'!$D$18&amp;'Input sheet'!$D$19</f>
        <v/>
      </c>
      <c r="B238" t="s">
        <v>493</v>
      </c>
      <c r="D238">
        <f>_xlfn.XLOOKUP(B238,'Input sheet'!C:C,'Input sheet'!D:D,"Manual")</f>
        <v>0</v>
      </c>
      <c r="E238" t="str">
        <f>_xlfn.XLOOKUP($B238,'Input sheet'!$C:$C,'Input sheet'!E:E,"Manual")</f>
        <v>litres</v>
      </c>
    </row>
    <row r="239" spans="1:5">
      <c r="A239" t="str">
        <f>'Input sheet'!$D$18&amp;'Input sheet'!$D$19</f>
        <v/>
      </c>
      <c r="B239" t="s">
        <v>495</v>
      </c>
      <c r="D239">
        <f>_xlfn.XLOOKUP(B239,'Input sheet'!C:C,'Input sheet'!D:D,"Manual")</f>
        <v>0</v>
      </c>
      <c r="E239" t="str">
        <f>_xlfn.XLOOKUP($B239,'Input sheet'!$C:$C,'Input sheet'!E:E,"Manual")</f>
        <v>litres</v>
      </c>
    </row>
    <row r="240" spans="1:5">
      <c r="A240" t="str">
        <f>'Input sheet'!$D$18&amp;'Input sheet'!$D$19</f>
        <v/>
      </c>
      <c r="B240" t="s">
        <v>497</v>
      </c>
      <c r="D240">
        <f>_xlfn.XLOOKUP(B240,'Input sheet'!C:C,'Input sheet'!D:D,"Manual")</f>
        <v>0</v>
      </c>
      <c r="E240" t="str">
        <f>_xlfn.XLOOKUP($B240,'Input sheet'!$C:$C,'Input sheet'!E:E,"Manual")</f>
        <v>litres</v>
      </c>
    </row>
    <row r="241" spans="1:5">
      <c r="A241" t="str">
        <f>'Input sheet'!$D$18&amp;'Input sheet'!$D$19</f>
        <v/>
      </c>
      <c r="B241" t="s">
        <v>499</v>
      </c>
      <c r="D241">
        <f>_xlfn.XLOOKUP(B241,'Input sheet'!C:C,'Input sheet'!D:D,"Manual")</f>
        <v>0</v>
      </c>
      <c r="E241" t="str">
        <f>_xlfn.XLOOKUP($B241,'Input sheet'!$C:$C,'Input sheet'!E:E,"Manual")</f>
        <v>litres</v>
      </c>
    </row>
    <row r="242" spans="1:5">
      <c r="A242" t="str">
        <f>'Input sheet'!$D$18&amp;'Input sheet'!$D$19</f>
        <v/>
      </c>
      <c r="B242" t="s">
        <v>501</v>
      </c>
      <c r="D242">
        <f>_xlfn.XLOOKUP(B242,'Input sheet'!C:C,'Input sheet'!D:D,"Manual")</f>
        <v>0</v>
      </c>
      <c r="E242" t="str">
        <f>_xlfn.XLOOKUP($B242,'Input sheet'!$C:$C,'Input sheet'!E:E,"Manual")</f>
        <v>litres</v>
      </c>
    </row>
    <row r="243" spans="1:5">
      <c r="A243" t="str">
        <f>'Input sheet'!$D$18&amp;'Input sheet'!$D$19</f>
        <v/>
      </c>
      <c r="B243" t="s">
        <v>503</v>
      </c>
      <c r="D243">
        <f>_xlfn.XLOOKUP(B243,'Input sheet'!C:C,'Input sheet'!D:D,"Manual")</f>
        <v>0</v>
      </c>
      <c r="E243" t="str">
        <f>_xlfn.XLOOKUP($B243,'Input sheet'!$C:$C,'Input sheet'!E:E,"Manual")</f>
        <v>litres</v>
      </c>
    </row>
    <row r="244" spans="1:5">
      <c r="A244" t="str">
        <f>'Input sheet'!$D$18&amp;'Input sheet'!$D$19</f>
        <v/>
      </c>
      <c r="B244" t="s">
        <v>505</v>
      </c>
      <c r="D244">
        <f>_xlfn.XLOOKUP(B244,'Input sheet'!C:C,'Input sheet'!D:D,"Manual")</f>
        <v>0</v>
      </c>
      <c r="E244" t="str">
        <f>_xlfn.XLOOKUP($B244,'Input sheet'!$C:$C,'Input sheet'!E:E,"Manual")</f>
        <v>litres</v>
      </c>
    </row>
    <row r="245" spans="1:5">
      <c r="A245" t="str">
        <f>'Input sheet'!$D$18&amp;'Input sheet'!$D$19</f>
        <v/>
      </c>
      <c r="B245" t="s">
        <v>507</v>
      </c>
      <c r="D245">
        <f>_xlfn.XLOOKUP(B245,'Input sheet'!C:C,'Input sheet'!D:D,"Manual")</f>
        <v>0</v>
      </c>
      <c r="E245" t="str">
        <f>_xlfn.XLOOKUP($B245,'Input sheet'!$C:$C,'Input sheet'!E:E,"Manual")</f>
        <v>litres</v>
      </c>
    </row>
    <row r="246" spans="1:5">
      <c r="A246" t="str">
        <f>'Input sheet'!$D$18&amp;'Input sheet'!$D$19</f>
        <v/>
      </c>
      <c r="B246" t="s">
        <v>509</v>
      </c>
      <c r="D246">
        <f>_xlfn.XLOOKUP(B246,'Input sheet'!C:C,'Input sheet'!D:D,"Manual")</f>
        <v>0</v>
      </c>
      <c r="E246" t="str">
        <f>_xlfn.XLOOKUP($B246,'Input sheet'!$C:$C,'Input sheet'!E:E,"Manual")</f>
        <v>litres</v>
      </c>
    </row>
    <row r="247" spans="1:5">
      <c r="A247" t="str">
        <f>'Input sheet'!$D$18&amp;'Input sheet'!$D$19</f>
        <v/>
      </c>
      <c r="B247" t="s">
        <v>511</v>
      </c>
      <c r="D247">
        <f>_xlfn.XLOOKUP(B247,'Input sheet'!C:C,'Input sheet'!D:D,"Manual")</f>
        <v>0</v>
      </c>
      <c r="E247" t="str">
        <f>_xlfn.XLOOKUP($B247,'Input sheet'!$C:$C,'Input sheet'!E:E,"Manual")</f>
        <v>litres</v>
      </c>
    </row>
    <row r="248" spans="1:5">
      <c r="A248" t="str">
        <f>'Input sheet'!$D$18&amp;'Input sheet'!$D$19</f>
        <v/>
      </c>
      <c r="B248" t="s">
        <v>513</v>
      </c>
      <c r="D248">
        <f>_xlfn.XLOOKUP(B248,'Input sheet'!C:C,'Input sheet'!D:D,"Manual")</f>
        <v>0</v>
      </c>
      <c r="E248" t="str">
        <f>_xlfn.XLOOKUP($B248,'Input sheet'!$C:$C,'Input sheet'!E:E,"Manual")</f>
        <v>litres</v>
      </c>
    </row>
    <row r="249" spans="1:5">
      <c r="A249" t="str">
        <f>'Input sheet'!$D$18&amp;'Input sheet'!$D$19</f>
        <v/>
      </c>
      <c r="B249" t="s">
        <v>515</v>
      </c>
      <c r="D249">
        <f>_xlfn.XLOOKUP(B249,'Input sheet'!C:C,'Input sheet'!D:D,"Manual")</f>
        <v>0</v>
      </c>
      <c r="E249" t="str">
        <f>_xlfn.XLOOKUP($B249,'Input sheet'!$C:$C,'Input sheet'!E:E,"Manual")</f>
        <v>litres</v>
      </c>
    </row>
    <row r="250" spans="1:5">
      <c r="A250" t="str">
        <f>'Input sheet'!$D$18&amp;'Input sheet'!$D$19</f>
        <v/>
      </c>
      <c r="B250" t="s">
        <v>517</v>
      </c>
      <c r="D250">
        <f>_xlfn.XLOOKUP(B250,'Input sheet'!C:C,'Input sheet'!D:D,"Manual")</f>
        <v>0</v>
      </c>
      <c r="E250" t="str">
        <f>_xlfn.XLOOKUP($B250,'Input sheet'!$C:$C,'Input sheet'!E:E,"Manual")</f>
        <v>litres</v>
      </c>
    </row>
    <row r="251" spans="1:5">
      <c r="A251" t="str">
        <f>'Input sheet'!$D$18&amp;'Input sheet'!$D$19</f>
        <v/>
      </c>
      <c r="B251" t="s">
        <v>519</v>
      </c>
      <c r="D251">
        <f>_xlfn.XLOOKUP(B251,'Input sheet'!C:C,'Input sheet'!D:D,"Manual")</f>
        <v>0</v>
      </c>
      <c r="E251" t="str">
        <f>_xlfn.XLOOKUP($B251,'Input sheet'!$C:$C,'Input sheet'!E:E,"Manual")</f>
        <v>litres</v>
      </c>
    </row>
    <row r="252" spans="1:5">
      <c r="A252" t="str">
        <f>'Input sheet'!$D$18&amp;'Input sheet'!$D$19</f>
        <v/>
      </c>
      <c r="B252" t="s">
        <v>523</v>
      </c>
      <c r="D252">
        <f>_xlfn.XLOOKUP(B252,'Input sheet'!C:C,'Input sheet'!D:D,"Manual")</f>
        <v>0</v>
      </c>
      <c r="E252" t="str">
        <f>_xlfn.XLOOKUP($B252,'Input sheet'!$C:$C,'Input sheet'!E:E,"Manual")</f>
        <v>amount</v>
      </c>
    </row>
    <row r="253" spans="1:5">
      <c r="A253" t="str">
        <f>'Input sheet'!$D$18&amp;'Input sheet'!$D$19</f>
        <v/>
      </c>
      <c r="B253" t="s">
        <v>526</v>
      </c>
      <c r="D253">
        <f>_xlfn.XLOOKUP(B253,'Input sheet'!C:C,'Input sheet'!D:D,"Manual")</f>
        <v>0</v>
      </c>
      <c r="E253" t="str">
        <f>_xlfn.XLOOKUP($B253,'Input sheet'!$C:$C,'Input sheet'!E:E,"Manual")</f>
        <v>amount</v>
      </c>
    </row>
    <row r="254" spans="1:5">
      <c r="A254" t="str">
        <f>'Input sheet'!$D$18&amp;'Input sheet'!$D$19</f>
        <v/>
      </c>
      <c r="B254" t="s">
        <v>528</v>
      </c>
      <c r="D254">
        <f>_xlfn.XLOOKUP(B254,'Input sheet'!C:C,'Input sheet'!D:D,"Manual")</f>
        <v>0</v>
      </c>
      <c r="E254" t="str">
        <f>_xlfn.XLOOKUP($B254,'Input sheet'!$C:$C,'Input sheet'!E:E,"Manual")</f>
        <v>amount</v>
      </c>
    </row>
    <row r="255" spans="1:5">
      <c r="A255" t="str">
        <f>'Input sheet'!$D$18&amp;'Input sheet'!$D$19</f>
        <v/>
      </c>
      <c r="B255" t="s">
        <v>530</v>
      </c>
      <c r="D255">
        <f>_xlfn.XLOOKUP(B255,'Input sheet'!C:C,'Input sheet'!D:D,"Manual")</f>
        <v>0</v>
      </c>
      <c r="E255" t="str">
        <f>_xlfn.XLOOKUP($B255,'Input sheet'!$C:$C,'Input sheet'!E:E,"Manual")</f>
        <v>amount</v>
      </c>
    </row>
    <row r="256" spans="1:5">
      <c r="A256" t="str">
        <f>'Input sheet'!$D$18&amp;'Input sheet'!$D$19</f>
        <v/>
      </c>
      <c r="B256" t="s">
        <v>532</v>
      </c>
      <c r="D256">
        <f>_xlfn.XLOOKUP(B256,'Input sheet'!C:C,'Input sheet'!D:D,"Manual")</f>
        <v>0</v>
      </c>
      <c r="E256" t="str">
        <f>_xlfn.XLOOKUP($B256,'Input sheet'!$C:$C,'Input sheet'!E:E,"Manual")</f>
        <v>amount</v>
      </c>
    </row>
    <row r="257" spans="1:5">
      <c r="A257" t="str">
        <f>'Input sheet'!$D$18&amp;'Input sheet'!$D$19</f>
        <v/>
      </c>
      <c r="B257" t="s">
        <v>534</v>
      </c>
      <c r="D257">
        <f>_xlfn.XLOOKUP(B257,'Input sheet'!C:C,'Input sheet'!D:D,"Manual")</f>
        <v>0</v>
      </c>
      <c r="E257" t="str">
        <f>_xlfn.XLOOKUP($B257,'Input sheet'!$C:$C,'Input sheet'!E:E,"Manual")</f>
        <v>amount</v>
      </c>
    </row>
    <row r="258" spans="1:5">
      <c r="A258" t="str">
        <f>'Input sheet'!$D$18&amp;'Input sheet'!$D$19</f>
        <v/>
      </c>
      <c r="B258" t="s">
        <v>536</v>
      </c>
      <c r="D258">
        <f>_xlfn.XLOOKUP(B258,'Input sheet'!C:C,'Input sheet'!D:D,"Manual")</f>
        <v>0</v>
      </c>
      <c r="E258" t="str">
        <f>_xlfn.XLOOKUP($B258,'Input sheet'!$C:$C,'Input sheet'!E:E,"Manual")</f>
        <v>amount</v>
      </c>
    </row>
    <row r="259" spans="1:5">
      <c r="A259" t="str">
        <f>'Input sheet'!$D$18&amp;'Input sheet'!$D$19</f>
        <v/>
      </c>
      <c r="B259" t="s">
        <v>972</v>
      </c>
      <c r="D259" t="str">
        <f>_xlfn.XLOOKUP(B259,'Input sheet'!C:C,'Input sheet'!D:D,"Manual")</f>
        <v>Manual</v>
      </c>
      <c r="E259" t="str">
        <f>_xlfn.XLOOKUP($B259,'Input sheet'!$C:$C,'Input sheet'!E:E,"Manual")</f>
        <v>Manual</v>
      </c>
    </row>
    <row r="260" spans="1:5">
      <c r="A260" t="str">
        <f>'Input sheet'!$D$18&amp;'Input sheet'!$D$19</f>
        <v/>
      </c>
      <c r="B260" t="s">
        <v>540</v>
      </c>
      <c r="D260">
        <f>_xlfn.XLOOKUP(B260,'Input sheet'!C:C,'Input sheet'!D:D,"Manual")</f>
        <v>0</v>
      </c>
      <c r="E260" t="str">
        <f>_xlfn.XLOOKUP($B260,'Input sheet'!$C:$C,'Input sheet'!E:E,"Manual")</f>
        <v>grams of CO2e per view</v>
      </c>
    </row>
    <row r="261" spans="1:5">
      <c r="A261" t="str">
        <f>'Input sheet'!$D$18&amp;'Input sheet'!$D$19</f>
        <v/>
      </c>
      <c r="B261" t="s">
        <v>543</v>
      </c>
      <c r="D261">
        <f>_xlfn.XLOOKUP(B261,'Input sheet'!C:C,'Input sheet'!D:D,"Manual")</f>
        <v>0</v>
      </c>
      <c r="E261" t="str">
        <f>_xlfn.XLOOKUP($B261,'Input sheet'!$C:$C,'Input sheet'!E:E,"Manual")</f>
        <v>number of views</v>
      </c>
    </row>
    <row r="262" spans="1:5">
      <c r="A262" t="str">
        <f>'Input sheet'!$D$18&amp;'Input sheet'!$D$19</f>
        <v/>
      </c>
      <c r="B262" t="s">
        <v>546</v>
      </c>
      <c r="D262">
        <f>_xlfn.XLOOKUP(B262,'Input sheet'!C:C,'Input sheet'!D:D,"Manual")</f>
        <v>0</v>
      </c>
      <c r="E262" t="str">
        <f>_xlfn.XLOOKUP($B262,'Input sheet'!$C:$C,'Input sheet'!E:E,"Manual")</f>
        <v>nr emails sent</v>
      </c>
    </row>
    <row r="263" spans="1:5">
      <c r="A263" t="str">
        <f>'Input sheet'!$D$18&amp;'Input sheet'!$D$19</f>
        <v/>
      </c>
      <c r="B263" t="s">
        <v>549</v>
      </c>
      <c r="D263">
        <f>_xlfn.XLOOKUP(B263,'Input sheet'!C:C,'Input sheet'!D:D,"Manual")</f>
        <v>0</v>
      </c>
      <c r="E263" t="str">
        <f>_xlfn.XLOOKUP($B263,'Input sheet'!$C:$C,'Input sheet'!E:E,"Manual")</f>
        <v>nr app sessions</v>
      </c>
    </row>
    <row r="264" spans="1:5">
      <c r="A264" t="str">
        <f>'Input sheet'!$D$18&amp;'Input sheet'!$D$19</f>
        <v/>
      </c>
      <c r="B264" t="s">
        <v>552</v>
      </c>
      <c r="D264">
        <f>_xlfn.XLOOKUP(B264,'Input sheet'!C:C,'Input sheet'!D:D,"Manual")</f>
        <v>0</v>
      </c>
      <c r="E264" t="str">
        <f>_xlfn.XLOOKUP($B264,'Input sheet'!$C:$C,'Input sheet'!E:E,"Manual")</f>
        <v>nr of views</v>
      </c>
    </row>
    <row r="265" spans="1:5">
      <c r="A265" t="str">
        <f>'Input sheet'!$D$18&amp;'Input sheet'!$D$19</f>
        <v/>
      </c>
      <c r="B265" t="s">
        <v>555</v>
      </c>
      <c r="D265">
        <f>_xlfn.XLOOKUP(B265,'Input sheet'!C:C,'Input sheet'!D:D,"Manual")</f>
        <v>0</v>
      </c>
      <c r="E265" t="str">
        <f>_xlfn.XLOOKUP($B265,'Input sheet'!$C:$C,'Input sheet'!E:E,"Manual")</f>
        <v>data GB</v>
      </c>
    </row>
    <row r="266" spans="1:5">
      <c r="A266" t="str">
        <f>'Input sheet'!$D$18&amp;'Input sheet'!$D$19</f>
        <v/>
      </c>
      <c r="B266" s="704" t="s">
        <v>559</v>
      </c>
      <c r="D266">
        <f>_xlfn.XLOOKUP(B266,'Input sheet'!C:C,'Input sheet'!D:D,"Manual")</f>
        <v>0</v>
      </c>
      <c r="E266" t="str">
        <f>_xlfn.XLOOKUP($B266,'Input sheet'!$C:$C,'Input sheet'!E:E,"Manual")</f>
        <v>tonnes CO2e</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V W P 5 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B V Y / l 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W P 5 W i i K R 7 g O A A A A E Q A A A B M A H A B G b 3 J t d W x h c y 9 T Z W N 0 a W 9 u M S 5 t I K I Y A C i g F A A A A A A A A A A A A A A A A A A A A A A A A A A A A C t O T S 7 J z M 9 T C I b Q h t Y A U E s B A i 0 A F A A C A A g A V W P 5 W l 0 9 B f q m A A A A 9 g A A A B I A A A A A A A A A A A A A A A A A A A A A A E N v b m Z p Z y 9 Q Y W N r Y W d l L n h t b F B L A Q I t A B Q A A g A I A F V j + V o P y u m r p A A A A O k A A A A T A A A A A A A A A A A A A A A A A P I A A A B b Q 2 9 u d G V u d F 9 U e X B l c 1 0 u e G 1 s U E s B A i 0 A F A A C A A g A V W P 5 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Z x m o 2 U p C 1 O v L Y u N Z x F O X U A A A A A A g A A A A A A E G Y A A A A B A A A g A A A A c a h f 3 9 T O A s f O / A + Q D m w 0 n p V b r I o B e Z p + S 6 Y n k g U 1 + 3 8 A A A A A D o A A A A A C A A A g A A A A L O t + J Z F 5 Z w G n e B A N r v L f D 0 q y o f 5 u S W p H 1 J 5 V q E t 1 v L R Q A A A A 8 w r G p 7 3 b M v Q Z W 6 U X b u H 1 m Q / T s B Y D N k 8 M a D z p E d 6 4 t m Q P 5 d v 4 6 K V r c q K y + v 9 3 5 x 4 O j 8 N P L X C e 0 6 z O 2 Z K D H S T O 1 v 9 J r 3 9 8 5 m 1 n u K / o N L Z s J r 9 A A A A A z q o F w Q R B n q H B + C V z v O 8 m 4 e M i P F W b U + G c b 5 Q z S y v T f a T Y u A w P n 0 r O q S D U M K v s f t o k r L y p p F 5 5 R z w U k z X o y d o 1 W 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9281134D1210E045863E0E72CAEA56B1" ma:contentTypeVersion="18" ma:contentTypeDescription="Create a new document." ma:contentTypeScope="" ma:versionID="4ef987333a73fd99ec29d2889bdca804">
  <xsd:schema xmlns:xsd="http://www.w3.org/2001/XMLSchema" xmlns:xs="http://www.w3.org/2001/XMLSchema" xmlns:p="http://schemas.microsoft.com/office/2006/metadata/properties" xmlns:ns2="92bb37c4-a84d-4d18-908e-6eb4972637e6" xmlns:ns3="ce800906-fcdf-4fef-aae4-949d549d1740" targetNamespace="http://schemas.microsoft.com/office/2006/metadata/properties" ma:root="true" ma:fieldsID="455015bac99b6e62c73aed099c0bfe47" ns2:_="" ns3:_="">
    <xsd:import namespace="92bb37c4-a84d-4d18-908e-6eb4972637e6"/>
    <xsd:import namespace="ce800906-fcdf-4fef-aae4-949d549d174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b37c4-a84d-4d18-908e-6eb497263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0e8c0c4-99b0-4330-9541-42321b27ea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800906-fcdf-4fef-aae4-949d549d174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ab23f02-d95e-4427-a855-52a45e7578a9}" ma:internalName="TaxCatchAll" ma:showField="CatchAllData" ma:web="ce800906-fcdf-4fef-aae4-949d549d1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e800906-fcdf-4fef-aae4-949d549d1740" xsi:nil="true"/>
    <lcf76f155ced4ddcb4097134ff3c332f xmlns="92bb37c4-a84d-4d18-908e-6eb4972637e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0AAD35-67FD-4C10-97C6-9C0AF0AEFF79}">
  <ds:schemaRefs>
    <ds:schemaRef ds:uri="http://schemas.microsoft.com/DataMashup"/>
  </ds:schemaRefs>
</ds:datastoreItem>
</file>

<file path=customXml/itemProps2.xml><?xml version="1.0" encoding="utf-8"?>
<ds:datastoreItem xmlns:ds="http://schemas.openxmlformats.org/officeDocument/2006/customXml" ds:itemID="{603FC7AA-EBC1-4681-A848-1FB3F394B4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b37c4-a84d-4d18-908e-6eb4972637e6"/>
    <ds:schemaRef ds:uri="ce800906-fcdf-4fef-aae4-949d549d1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2068C3-AF38-4CEE-933A-2E9236914B82}">
  <ds:schemaRefs>
    <ds:schemaRef ds:uri="http://schemas.microsoft.com/office/infopath/2007/PartnerControls"/>
    <ds:schemaRef ds:uri="92bb37c4-a84d-4d18-908e-6eb4972637e6"/>
    <ds:schemaRef ds:uri="http://schemas.microsoft.com/office/2006/documentManagement/types"/>
    <ds:schemaRef ds:uri="ce800906-fcdf-4fef-aae4-949d549d1740"/>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9459DC6E-4F12-4155-9A62-CBDC4D435C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Title page</vt:lpstr>
      <vt:lpstr>Manual</vt:lpstr>
      <vt:lpstr>Input sheet</vt:lpstr>
      <vt:lpstr>Results</vt:lpstr>
      <vt:lpstr>Results - deep dive</vt:lpstr>
      <vt:lpstr>Emission factors - list</vt:lpstr>
      <vt:lpstr>|</vt:lpstr>
      <vt:lpstr>Input sheet format</vt:lpstr>
      <vt:lpstr>Input import</vt:lpstr>
      <vt:lpstr>CO2-Calculation</vt:lpstr>
      <vt:lpstr>Facilitatory data</vt:lpstr>
      <vt:lpstr>EF-background info</vt:lpstr>
      <vt:lpstr>Pivots</vt:lpstr>
      <vt:lpstr>sort</vt:lpstr>
      <vt:lpstr>Sheet3</vt:lpstr>
      <vt:lpstr>CalcTable</vt:lpstr>
      <vt:lpstr>data_bas</vt:lpstr>
      <vt:lpstr>FDpack</vt:lpstr>
      <vt:lpstr>indout</vt:lpstr>
      <vt:lpstr>loctyp</vt:lpstr>
      <vt:lpstr>opcl</vt:lpstr>
      <vt:lpstr>selproc</vt:lpstr>
      <vt:lpstr>susprod</vt:lpstr>
      <vt:lpstr>ventyp</vt:lpstr>
      <vt:lpstr>weath</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niek.schemmekes@rhdhv.com</dc:creator>
  <cp:keywords/>
  <dc:description/>
  <cp:lastModifiedBy>Lars Lensink</cp:lastModifiedBy>
  <cp:revision/>
  <dcterms:created xsi:type="dcterms:W3CDTF">2022-05-13T20:32:49Z</dcterms:created>
  <dcterms:modified xsi:type="dcterms:W3CDTF">2026-07-11T18:48:56Z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0x0101009281134D1210E045863E0E72CAEA56B1</vt:lpwstr>
  </property>
  <property fmtid="{D5CDD505-2E9C-101B-9397-08002B2CF9AE}" pid="3" name="MediaServiceImageTags">
    <vt:lpwstr/>
  </property>
</Properties>
</file>